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fileSharing readOnlyRecommended="1"/>
  <workbookPr defaultThemeVersion="202300"/>
  <mc:AlternateContent xmlns:mc="http://schemas.openxmlformats.org/markup-compatibility/2006">
    <mc:Choice Requires="x15">
      <x15ac:absPath xmlns:x15ac="http://schemas.microsoft.com/office/spreadsheetml/2010/11/ac" url="https://newbergoregon-my.sharepoint.com/personal/hiltonda_newbergoregon_gov/Documents/SDC/Sept2026-updates-4-website/"/>
    </mc:Choice>
  </mc:AlternateContent>
  <xr:revisionPtr revIDLastSave="0" documentId="8_{75812F21-CDEE-4B87-997B-2B98AC4694C0}" xr6:coauthVersionLast="47" xr6:coauthVersionMax="47" xr10:uidLastSave="{00000000-0000-0000-0000-000000000000}"/>
  <workbookProtection workbookAlgorithmName="SHA-512" workbookHashValue="XaOXWf40I92V64YXx5/gxCsmpwqtSVYEkihgCopRESqWEWy5d8/xLXwVJa4QerwXo8YaE24fiDI0ezxxkTJTfQ==" workbookSaltValue="g60To6uLu0GdwTPxA4kEdQ==" workbookSpinCount="100000" lockStructure="1"/>
  <bookViews>
    <workbookView xWindow="17940" yWindow="1515" windowWidth="25770" windowHeight="18255" xr2:uid="{A0A2B300-764D-42C1-BBB0-8FC2C681688F}"/>
  </bookViews>
  <sheets>
    <sheet name="Transportation SDC Calculation" sheetId="1" r:id="rId1"/>
    <sheet name="Charge Analysis" sheetId="2" r:id="rId2"/>
    <sheet name="Planning Data" sheetId="3" r:id="rId3"/>
    <sheet name="Inventory of Current System" sheetId="4" r:id="rId4"/>
    <sheet name="CIP List"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1" l="1"/>
  <c r="G18" i="1" s="1"/>
  <c r="F17" i="1"/>
  <c r="G17" i="1" s="1"/>
  <c r="F16" i="1"/>
  <c r="G16" i="1" s="1"/>
  <c r="F15" i="1"/>
  <c r="G15" i="1" s="1"/>
  <c r="F14" i="1"/>
  <c r="G14" i="1" s="1"/>
  <c r="F13" i="1"/>
  <c r="G13" i="1" s="1"/>
  <c r="F12" i="1"/>
  <c r="G12" i="1" s="1"/>
  <c r="F11" i="1"/>
  <c r="G11" i="1" s="1"/>
  <c r="F10" i="1"/>
  <c r="G10" i="1" s="1"/>
  <c r="F9" i="1"/>
  <c r="G9" i="1" s="1"/>
  <c r="F8" i="1"/>
  <c r="G8" i="1" s="1"/>
  <c r="F7" i="1"/>
  <c r="G7" i="1" s="1"/>
  <c r="F6" i="1"/>
  <c r="G6" i="1" s="1"/>
  <c r="F5" i="1"/>
  <c r="G5" i="1" s="1"/>
  <c r="C15" i="2"/>
  <c r="C14" i="2"/>
  <c r="C4" i="2"/>
  <c r="J13" i="3"/>
  <c r="B7" i="3"/>
  <c r="B5" i="3"/>
  <c r="E22" i="4"/>
  <c r="E35" i="4" s="1"/>
  <c r="C3" i="2" s="1"/>
  <c r="C5" i="2" s="1"/>
  <c r="C9" i="2" s="1"/>
  <c r="C16" i="2" l="1"/>
  <c r="C18" i="2" s="1"/>
  <c r="C21" i="2" s="1"/>
  <c r="B10" i="3"/>
  <c r="J18" i="1" l="1"/>
  <c r="J17" i="1"/>
  <c r="J16" i="1"/>
  <c r="J15" i="1"/>
  <c r="J14" i="1"/>
  <c r="J13" i="1"/>
  <c r="J12" i="1"/>
  <c r="J11" i="1"/>
  <c r="J10" i="1"/>
  <c r="J9" i="1"/>
  <c r="J8" i="1"/>
  <c r="J7" i="1"/>
  <c r="J6" i="1"/>
  <c r="J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Kaaren Hofmann</author>
  </authors>
  <commentList>
    <comment ref="C3" authorId="0" shapeId="0" xr:uid="{4C11FD8A-8E7D-4657-91D2-24F166C995B3}">
      <text>
        <r>
          <rPr>
            <b/>
            <sz val="9"/>
            <color indexed="81"/>
            <rFont val="Tahoma"/>
            <family val="2"/>
          </rPr>
          <t>Kaaren Hofmann:</t>
        </r>
        <r>
          <rPr>
            <sz val="9"/>
            <color indexed="81"/>
            <rFont val="Tahoma"/>
            <family val="2"/>
          </rPr>
          <t xml:space="preserve">
Cost of infrastructure already constructed - Existing Debt ($0)</t>
        </r>
      </text>
    </comment>
    <comment ref="C4" authorId="0" shapeId="0" xr:uid="{107E5446-5798-487B-9C9C-73D347F154B3}">
      <text>
        <r>
          <rPr>
            <b/>
            <sz val="9"/>
            <color indexed="81"/>
            <rFont val="Tahoma"/>
            <family val="2"/>
          </rPr>
          <t>Kaaren Hofmann:</t>
        </r>
        <r>
          <rPr>
            <sz val="9"/>
            <color indexed="81"/>
            <rFont val="Tahoma"/>
            <family val="2"/>
          </rPr>
          <t xml:space="preserve">
Amount of PMPHPT forecasted in the City</t>
        </r>
      </text>
    </comment>
    <comment ref="C5" authorId="0" shapeId="0" xr:uid="{CAC706B8-98E5-48F6-A24E-210897945AE2}">
      <text>
        <r>
          <rPr>
            <b/>
            <sz val="9"/>
            <color indexed="81"/>
            <rFont val="Tahoma"/>
            <family val="2"/>
          </rPr>
          <t>Kaaren Hofmann:</t>
        </r>
        <r>
          <rPr>
            <sz val="9"/>
            <color indexed="81"/>
            <rFont val="Tahoma"/>
            <family val="2"/>
          </rPr>
          <t xml:space="preserve">
Cost divided by trips</t>
        </r>
      </text>
    </comment>
    <comment ref="C14" authorId="0" shapeId="0" xr:uid="{36D3D169-C6FC-4D97-8269-BFEC838A0DED}">
      <text>
        <r>
          <rPr>
            <b/>
            <sz val="9"/>
            <color indexed="81"/>
            <rFont val="Tahoma"/>
            <family val="2"/>
          </rPr>
          <t>Kaaren Hofmann:</t>
        </r>
        <r>
          <rPr>
            <sz val="9"/>
            <color indexed="81"/>
            <rFont val="Tahoma"/>
            <family val="2"/>
          </rPr>
          <t xml:space="preserve">
Cost of Capital Improvement Costs -  Existing Reserves</t>
        </r>
      </text>
    </comment>
    <comment ref="C15" authorId="0" shapeId="0" xr:uid="{62B19313-C151-4404-BB21-EFD4B69D8D0F}">
      <text>
        <r>
          <rPr>
            <b/>
            <sz val="9"/>
            <color indexed="81"/>
            <rFont val="Tahoma"/>
            <family val="2"/>
          </rPr>
          <t>Kaaren Hofmann:</t>
        </r>
        <r>
          <rPr>
            <sz val="9"/>
            <color indexed="81"/>
            <rFont val="Tahoma"/>
            <family val="2"/>
          </rPr>
          <t xml:space="preserve">
Additional PMPHPT forecasted at Buiildout</t>
        </r>
      </text>
    </comment>
    <comment ref="C16" authorId="0" shapeId="0" xr:uid="{B3D7A031-E07F-42FB-8CAB-477FE55504DD}">
      <text>
        <r>
          <rPr>
            <b/>
            <sz val="9"/>
            <color indexed="81"/>
            <rFont val="Tahoma"/>
            <family val="2"/>
          </rPr>
          <t>Kaaren Hofmann:</t>
        </r>
        <r>
          <rPr>
            <sz val="9"/>
            <color indexed="81"/>
            <rFont val="Tahoma"/>
            <family val="2"/>
          </rPr>
          <t xml:space="preserve">
Unit cost per PMPHPT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Kaaren Hofmann</author>
    <author>tc={06C83A2B-0079-4C3E-9F31-F95FDDE83E0C}</author>
    <author>tc={6B2762B9-9588-45AE-A683-DC7990AE9B52}</author>
  </authors>
  <commentList>
    <comment ref="B5" authorId="0" shapeId="0" xr:uid="{4B7B53BA-996C-4E10-B898-32D1E3AC47B5}">
      <text>
        <r>
          <rPr>
            <b/>
            <sz val="9"/>
            <color indexed="81"/>
            <rFont val="Tahoma"/>
            <family val="2"/>
          </rPr>
          <t>Kaaren Hofmann:</t>
        </r>
        <r>
          <rPr>
            <sz val="9"/>
            <color indexed="81"/>
            <rFont val="Tahoma"/>
            <family val="2"/>
          </rPr>
          <t xml:space="preserve">
=1.3xcurrent population estimate</t>
        </r>
      </text>
    </comment>
    <comment ref="B7" authorId="0" shapeId="0" xr:uid="{83C67AF8-EE19-4B97-80B6-829B78D3F9D3}">
      <text>
        <r>
          <rPr>
            <b/>
            <sz val="9"/>
            <color indexed="81"/>
            <rFont val="Tahoma"/>
            <family val="2"/>
          </rPr>
          <t>Kaaren Hofmann:</t>
        </r>
        <r>
          <rPr>
            <sz val="9"/>
            <color indexed="81"/>
            <rFont val="Tahoma"/>
            <family val="2"/>
          </rPr>
          <t xml:space="preserve">
=1.3xpopulation forecast</t>
        </r>
      </text>
    </comment>
    <comment ref="B10" authorId="0" shapeId="0" xr:uid="{97E2ABE8-FA4B-4955-8C3C-D2A456FAC274}">
      <text>
        <r>
          <rPr>
            <b/>
            <sz val="9"/>
            <color indexed="81"/>
            <rFont val="Tahoma"/>
            <family val="2"/>
          </rPr>
          <t>Kaaren Hofmann:</t>
        </r>
        <r>
          <rPr>
            <sz val="9"/>
            <color indexed="81"/>
            <rFont val="Tahoma"/>
            <family val="2"/>
          </rPr>
          <t xml:space="preserve">
Future-Current trips</t>
        </r>
      </text>
    </comment>
    <comment ref="I10" authorId="1" shapeId="0" xr:uid="{06C83A2B-0079-4C3E-9F31-F95FDDE83E0C}">
      <text>
        <t>[Threaded comment]
Your version of Excel allows you to read this threaded comment; however, any edits to it will get removed if the file is opened in a newer version of Excel. Learn more: https://go.microsoft.com/fwlink/?linkid=870924
Comment:
    Existing Population = 25767</t>
      </text>
    </comment>
    <comment ref="J10" authorId="2" shapeId="0" xr:uid="{6B2762B9-9588-45AE-A683-DC7990AE9B52}">
      <text>
        <t>[Threaded comment]
Your version of Excel allows you to read this threaded comment; however, any edits to it will get removed if the file is opened in a newer version of Excel. Learn more: https://go.microsoft.com/fwlink/?linkid=870924
Comment:
    Population Estimate 32780</t>
      </text>
    </comment>
  </commentList>
</comments>
</file>

<file path=xl/sharedStrings.xml><?xml version="1.0" encoding="utf-8"?>
<sst xmlns="http://schemas.openxmlformats.org/spreadsheetml/2006/main" count="297" uniqueCount="170">
  <si>
    <t xml:space="preserve">Description: </t>
  </si>
  <si>
    <t xml:space="preserve">Close of 2025 Status: </t>
  </si>
  <si>
    <t>Roads under State or County Jurisdiction</t>
  </si>
  <si>
    <t>Reconstruct OR 240 for approximately 0.36 miles between the west edge of the Urban Growth Boundary and Main Street to full, 3- lane minor arterial street standards.</t>
  </si>
  <si>
    <t>State/County Jurisdiction</t>
  </si>
  <si>
    <t>Reconstruct to full minor arterial standards between Illinois and 1st to include three travel lanes, bike lanes, and sidewalks.</t>
  </si>
  <si>
    <t>Construct new street between 9th St and River St to major collector standards.</t>
  </si>
  <si>
    <t>N/A</t>
  </si>
  <si>
    <t>Reconstruct to minor arterial street standards between 1st St and Bell Rd to include sidewalks and bicycle lanes on each side of College Street.</t>
  </si>
  <si>
    <t>Construct Rogers Landing Rd from Willamette River to UGB to major collector standards.</t>
  </si>
  <si>
    <t>Construct Villa Rd from Mountainview Dr to Aspen Way and construct to major collector standards with sidewalks and bike lanes.</t>
  </si>
  <si>
    <t>Safety Improvement: Reconstruct Mountainview Dr between Villa Rd and Alice Way to minor arterial standards. Include bike lanes and sidewalks on both sides.</t>
  </si>
  <si>
    <t>Reconstruct Mountainview Dr between Alice Way and Aspen Way to minor arterial standards. Include bike lanes and sidewalks on both sides.</t>
  </si>
  <si>
    <t>Construct Hayes St from its eastern terminus at Deborah St to Springbrook St to minor collector street standards</t>
  </si>
  <si>
    <t>Reconstruct OR219 to arterial standards between 1st Street and the UGB to include sidewalks and bicycle lanes on each side of OR219.</t>
  </si>
  <si>
    <t>Restripe Dayton Avenue to major collector street standards between 5th Street and Newberg city limits to include bicycle lanes on each side of Dayton Avenue</t>
  </si>
  <si>
    <t>Reconstruct 3rd Street to minor collector street standards between OR 99W and Main Street to include sidewalks and on-street parking on each side of 3rd Street</t>
  </si>
  <si>
    <t>Reconstruct OR 99W to major arterial street standards between Harrison Street and 3rd Street to include sidewalks and bicycle lanes on each side of OR 99W.</t>
  </si>
  <si>
    <t>Restripe to major collector street standards between 1st St and 5th St to include bicycle lanes on each side.</t>
  </si>
  <si>
    <t>Reconstruct 2nd St to major collector street standards between Main St and River St to include sidewalks, bicycle lanes, and on- street parking on each side of 2nd Street</t>
  </si>
  <si>
    <t>Reconstruct Blaine St to major collector street standards between Hancock St and 9th St to include sidewalks and bicycle lanes on each side of Blaine Street.</t>
  </si>
  <si>
    <t>Reconstruct Chehalem Dr between OR240 and North Valley Rd to major collector street standards to include bicycle lanes and sidewalks on both sides of the street. Yamhill County and City of Newberg jurisdictions.</t>
  </si>
  <si>
    <t>Reconstruct to full major collector street standards between Illinois St and Mountainview Dr to include sidewalks and bicycle lanes on each side of Main St.</t>
  </si>
  <si>
    <t>Reconstruct Illinois St between Main St and College St to major collector street standards to include on-street parking, bicycle lanes, and sidewalks on each side of the street.</t>
  </si>
  <si>
    <t>Reconstruct Columbia Dr between Chehalem Dr and College St to minor collector street standards to include a travel lane in each direction, and sidewalks and on-street parking on both sides of the street.</t>
  </si>
  <si>
    <t>Reconstruct Crestview Dr to minor collector street standards between College St and Villa Rd to include sidewalks and on-street parking. (Other Crestview Dr projects E14, S40)</t>
  </si>
  <si>
    <t>Reconstruct Vermillion St between Meridian St and College St to major collector standards to provide bicycle lanes and sidewalks on each side of the street.</t>
  </si>
  <si>
    <t>Reconstruct Fulton St between Meridian St and Villa Rd to major collector standards, providing bicycle lanes and sidewalks on each side of the street.</t>
  </si>
  <si>
    <t>Reconstruct to major collector street standards between 1st St and Rogers Landing Rd to include sidewalks and bicycle lanes on each side of River St.</t>
  </si>
  <si>
    <t>Reconstruct Rogers Landing Rd to major collector street standards between River St and the Willamette River to include sidewalks and bicycle lanes on each side of the street.</t>
  </si>
  <si>
    <t>Reconstruct Villa Rd to major collector street standards between OR 99W and Fulton St to include sidewalks and bicycle lanes on each side of Villa Rd.</t>
  </si>
  <si>
    <t>Reconstruct to major collector street standards between Fulton St and Crestview Dr to include sidewalks and bicycle lanes on each side of Villa Rd.</t>
  </si>
  <si>
    <t>Reconstruct Haworth Ave to major collector street standards between Villa Rd and Springbrook St to include sidewalks and bicycle lanes on each side of Haworth St.</t>
  </si>
  <si>
    <t>Reconstruct Aspen Way to minor collector standards between Villa Rd and Mountainview Dr to include sidewalks and on- street parking on each side of Aspen Way</t>
  </si>
  <si>
    <t>Reconstruct Hayes Street to minor collector street standards between Elliott Road and Deborah Street to include sidewalks and on- street parking on each side of Hayes Street</t>
  </si>
  <si>
    <t>Reconstruct Fernwood Rd between Springbrook Rd and Creek to major collector standards to include bicycle lanes and sidewalks on each side of the street</t>
  </si>
  <si>
    <t>Reconstruct OR 99W to major arterial street standards between Vittoria Way and Harmony Ln to include sidewalks and bicycle lanes on each side of OR 99W.</t>
  </si>
  <si>
    <t>Reconstruct Wynooski Street to major collector street standards between River Street and Bypass to include sidewalks and bicycle lanes on each side of Wynooski Street</t>
  </si>
  <si>
    <t>Improve Zimri Dr within the UGB to major collector standards, providing bicycle lanes and sidewalks on each side of the street</t>
  </si>
  <si>
    <t>Intersection control upgrade (roundabout or traffic signal) to address mobility needs</t>
  </si>
  <si>
    <t>Add southbound left turn lane and northbound right turn lane on Villa to improve safety and operations. Monitor for control upgrade (roundabout or traffic signal)</t>
  </si>
  <si>
    <t>Add SB right turn lane and NB left turn lane on Villa Rd. Monitor for control upgrade (roundabout or traffic signal)</t>
  </si>
  <si>
    <t>Add SB left turn lane to Zimri Dr</t>
  </si>
  <si>
    <t>Traffic Signal.</t>
  </si>
  <si>
    <t>Traffic Signal and left turn lanes on Haworth</t>
  </si>
  <si>
    <t>Traffic Signal. Add 4th leg on west side of Springbrook.</t>
  </si>
  <si>
    <t>Traffic Signal and left turn lanes on all approaches. Additional improvements may be needed at the adjacent intersection of 1st/Villa in order ensure mobility along OR 219, including modify control and/or turn restrictions.</t>
  </si>
  <si>
    <t>Perform special study to determine appropriate intersection improvements to address future safety and mobility needs triggered by future growth. Possible alternatives include traffic signal, roundabout, or four-way stop control. Realignment of the intersection may be required; alternatively, closure of either the north or east approach may be considered.</t>
  </si>
  <si>
    <t>From UGB to 3rd Street</t>
  </si>
  <si>
    <t>From UGB to Ore 99W</t>
  </si>
  <si>
    <t>From Blaine St to River St</t>
  </si>
  <si>
    <t>From College St to River St</t>
  </si>
  <si>
    <t>From River St to Wynooski St</t>
  </si>
  <si>
    <t>From 9th St to 14th St</t>
  </si>
  <si>
    <t>From Hancock Street to 2nd Street</t>
  </si>
  <si>
    <t>From Crestview Dr to Fulton St</t>
  </si>
  <si>
    <t>From Emery St to Springbrook St</t>
  </si>
  <si>
    <t>From Crestview Drive to Douglas Ave</t>
  </si>
  <si>
    <t>From Crestview Drive to Ore 99W</t>
  </si>
  <si>
    <t>From Springbrook Rd to Burl St</t>
  </si>
  <si>
    <t>From Brustcher Street to Vittoria Way</t>
  </si>
  <si>
    <t>From 5th St to Mountainview Dr.</t>
  </si>
  <si>
    <t>East of River St</t>
  </si>
  <si>
    <t>South of OR 99W on west side and north of OR 99W between Haworth and Middlebrook</t>
  </si>
  <si>
    <t>From Springbrook to OR 99W</t>
  </si>
  <si>
    <t>From Mountainview Dr to Springbrook</t>
  </si>
  <si>
    <t>Paving gravel Roads (AKA: Gravel Town) one phase at a time</t>
  </si>
  <si>
    <t>CIP 2026/2027</t>
  </si>
  <si>
    <t>Fleet Mechanic Building (est completion '27-'28)</t>
  </si>
  <si>
    <t xml:space="preserve">spread across all 4 SDC models at 20% </t>
  </si>
  <si>
    <r>
      <rPr>
        <sz val="11"/>
        <color theme="1"/>
        <rFont val="Aptos Narrow"/>
        <family val="2"/>
        <scheme val="minor"/>
      </rPr>
      <t>Reconstruct to major collector street standards between Main St and Aldersgate Dr to include sidewalks and bicycle lanes on
each side.</t>
    </r>
  </si>
  <si>
    <t>Reserves</t>
  </si>
  <si>
    <t>SDC Project Total</t>
  </si>
  <si>
    <t>SDC Project Total w/o State/County</t>
  </si>
  <si>
    <t>Estimated</t>
  </si>
  <si>
    <t>% SDC Eligible</t>
  </si>
  <si>
    <t>$ Eligible</t>
  </si>
  <si>
    <t>Amount after removal of State/County Road</t>
  </si>
  <si>
    <t>State/County Road projects</t>
  </si>
  <si>
    <t>Category</t>
  </si>
  <si>
    <t>Description of Asset</t>
  </si>
  <si>
    <t>Unique Project Number</t>
  </si>
  <si>
    <t>Installed</t>
  </si>
  <si>
    <t>Costs</t>
  </si>
  <si>
    <t>Infrastructure</t>
  </si>
  <si>
    <t>Blaine Street,1st St Block-9th Street Block,-</t>
  </si>
  <si>
    <t>6/30/2013</t>
  </si>
  <si>
    <t>Edwards Street,Hancock-Sheridan,-</t>
  </si>
  <si>
    <t>Harrison,2nd-3rd,-</t>
  </si>
  <si>
    <t>Harrison,3rd-4th,-</t>
  </si>
  <si>
    <t>S Main St,1st St-5th St,-</t>
  </si>
  <si>
    <t>Meridian St,Sierra Vista-Hemlock,-</t>
  </si>
  <si>
    <t>Meridian St,Hemlock-Pinehurst,-</t>
  </si>
  <si>
    <t>Pinehurst Dr,N Main-N College,-</t>
  </si>
  <si>
    <t>Springbrook Rd from YC,-,-</t>
  </si>
  <si>
    <t>6/30/2011</t>
  </si>
  <si>
    <t>Sandoz Rd,-,-</t>
  </si>
  <si>
    <t>2nd Street,-,-</t>
  </si>
  <si>
    <t>Columbia Drive LID,-,-</t>
  </si>
  <si>
    <t>6/30/2010</t>
  </si>
  <si>
    <t>Villa Rd Crestview to Mt View,-,-</t>
  </si>
  <si>
    <t>6/30/2009</t>
  </si>
  <si>
    <t>Mountainview S Curves,-,-</t>
  </si>
  <si>
    <t>6/30/2008</t>
  </si>
  <si>
    <t>9th &amp; Meridian Rehab,-,-</t>
  </si>
  <si>
    <t>CIP</t>
  </si>
  <si>
    <t>Scott Levitt Sidewalks</t>
  </si>
  <si>
    <t>College St Bikelane &amp; Sidewalk</t>
  </si>
  <si>
    <t>Memorial Park Sidewalks</t>
  </si>
  <si>
    <t xml:space="preserve">North Elliot Road </t>
  </si>
  <si>
    <t>Crestview Dr.</t>
  </si>
  <si>
    <t>Buildings &amp; Improvements</t>
  </si>
  <si>
    <t>PWA Building - 500 W 3rd St (year over year buildings inprove/add to the base line from 2017)</t>
  </si>
  <si>
    <t xml:space="preserve"> </t>
  </si>
  <si>
    <t>Land Improvements - 520 W 3rd Property Purchase</t>
  </si>
  <si>
    <t>Pavement Rehab (Springbrook rd to Haworth to Vittoria)</t>
  </si>
  <si>
    <t>Sheridan Street Blaine to School</t>
  </si>
  <si>
    <t>Bike Route Improvements</t>
  </si>
  <si>
    <t>College St-Bike Ln/W Sidewalk</t>
  </si>
  <si>
    <t>North College Street - Aldercrest Foothillls (utilizing 0% SDC eligibility)</t>
  </si>
  <si>
    <r>
      <t>Vactor Truck Building ($474,195.99 as of</t>
    </r>
    <r>
      <rPr>
        <i/>
        <sz val="11"/>
        <color rgb="FFFF0000"/>
        <rFont val="Aptos Narrow"/>
        <family val="2"/>
        <scheme val="minor"/>
      </rPr>
      <t xml:space="preserve"> 6/30/2025 SDC portion included in the PWA building</t>
    </r>
    <r>
      <rPr>
        <i/>
        <sz val="11"/>
        <color rgb="FF7030A0"/>
        <rFont val="Aptos Narrow"/>
        <family val="2"/>
        <scheme val="minor"/>
      </rPr>
      <t>)</t>
    </r>
  </si>
  <si>
    <t>new roundabout on Mountainview Dr / Villa Rd (100% SDC Eligible $998,931)</t>
  </si>
  <si>
    <t>Total Reimbursement Infrastructure</t>
  </si>
  <si>
    <t>Capacity Requirements (Needs)</t>
  </si>
  <si>
    <t>Current PMPHPT (1)</t>
  </si>
  <si>
    <t>Future PMPHPT (2)</t>
  </si>
  <si>
    <t>Amount of Growth</t>
  </si>
  <si>
    <t>PMPHPT</t>
  </si>
  <si>
    <t>PMPHPT = PM Peak Hour Person Trips</t>
  </si>
  <si>
    <t>(1) Based on Existing Population</t>
  </si>
  <si>
    <t>(2) Based on Population Forecast at Build Out (most up to date PSU numbers)</t>
  </si>
  <si>
    <t>Total</t>
  </si>
  <si>
    <t>Reimbursement Cost Basis</t>
  </si>
  <si>
    <t>Growth Capacity Requirements</t>
  </si>
  <si>
    <t>Unit Cost</t>
  </si>
  <si>
    <t>Reimbursement $/PMPHPT</t>
  </si>
  <si>
    <t>Improvement Cost Basis</t>
  </si>
  <si>
    <t>Improvement $/PMPHPT</t>
  </si>
  <si>
    <t>Max Allowed SDC/PMPHPT</t>
  </si>
  <si>
    <t>Current SDC/PMPHPT</t>
  </si>
  <si>
    <t>ITE Code</t>
  </si>
  <si>
    <t>Land Use</t>
  </si>
  <si>
    <t>Unit</t>
  </si>
  <si>
    <t>P.M. Peak Hour Vehicle Trips</t>
  </si>
  <si>
    <r>
      <t>Primary Trip Adjustments as a Percent of Total</t>
    </r>
    <r>
      <rPr>
        <b/>
        <vertAlign val="superscript"/>
        <sz val="9"/>
        <color theme="0"/>
        <rFont val="Arial Narrow"/>
        <family val="2"/>
      </rPr>
      <t>1</t>
    </r>
  </si>
  <si>
    <t>Adjusted P.M. Peak Hour Vehicle Trips</t>
  </si>
  <si>
    <r>
      <t>Number of P.M. Peak Hour Person Trips</t>
    </r>
    <r>
      <rPr>
        <b/>
        <vertAlign val="superscript"/>
        <sz val="9"/>
        <color theme="0"/>
        <rFont val="Arial Narrow"/>
        <family val="2"/>
      </rPr>
      <t>1</t>
    </r>
  </si>
  <si>
    <t>Gross Square Footage</t>
  </si>
  <si>
    <t>Number of Units</t>
  </si>
  <si>
    <t>SDC Amount</t>
  </si>
  <si>
    <t>General Light Industrial</t>
  </si>
  <si>
    <t>1,000 SFGFA</t>
  </si>
  <si>
    <t>xxxxxx</t>
  </si>
  <si>
    <t>Manufacturing</t>
  </si>
  <si>
    <t>Single-Family Detached Housing</t>
  </si>
  <si>
    <t>Dwelling unit</t>
  </si>
  <si>
    <t>Apartment</t>
  </si>
  <si>
    <t>Health/Fitness Club</t>
  </si>
  <si>
    <t>High School</t>
  </si>
  <si>
    <t>Junior/Community College</t>
  </si>
  <si>
    <t>Church</t>
  </si>
  <si>
    <t>General Office Building</t>
  </si>
  <si>
    <t>Shopping Center</t>
  </si>
  <si>
    <t>1,000 SFGLA</t>
  </si>
  <si>
    <t>Fast-Food Restaurant with Drive-Through</t>
  </si>
  <si>
    <t>Coffee/Donut Shop with Drive-Through</t>
  </si>
  <si>
    <t>Day Care Center</t>
  </si>
  <si>
    <t>Quality Restaurant</t>
  </si>
  <si>
    <t>Inputs go into blue cells.</t>
  </si>
  <si>
    <t>Multiplier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</si>
</sst>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 numFmtId="165" formatCode="&quot;$&quot;#,##0"/>
  </numFmts>
  <fonts count="16" x14ac:knownFonts="1">
    <font>
      <sz val="11"/>
      <color theme="1"/>
      <name val="Aptos Narrow"/>
      <family val="2"/>
      <scheme val="minor"/>
    </font>
    <font>
      <sz val="11"/>
      <color theme="1"/>
      <name val="Aptos Narrow"/>
      <family val="2"/>
      <scheme val="minor"/>
    </font>
    <font>
      <b/>
      <sz val="11"/>
      <color theme="3"/>
      <name val="Aptos Narrow"/>
      <family val="2"/>
      <scheme val="minor"/>
    </font>
    <font>
      <b/>
      <sz val="11"/>
      <color theme="1"/>
      <name val="Aptos Narrow"/>
      <family val="2"/>
      <scheme val="minor"/>
    </font>
    <font>
      <b/>
      <sz val="14"/>
      <color theme="1"/>
      <name val="Aptos Narrow"/>
      <family val="2"/>
      <scheme val="minor"/>
    </font>
    <font>
      <sz val="11"/>
      <name val="Aptos Narrow"/>
      <family val="2"/>
      <scheme val="minor"/>
    </font>
    <font>
      <i/>
      <sz val="11"/>
      <color rgb="FF7030A0"/>
      <name val="Aptos Narrow"/>
      <family val="2"/>
      <scheme val="minor"/>
    </font>
    <font>
      <i/>
      <sz val="11"/>
      <color theme="1"/>
      <name val="Aptos Narrow"/>
      <family val="2"/>
      <scheme val="minor"/>
    </font>
    <font>
      <i/>
      <sz val="11"/>
      <color rgb="FFFF0000"/>
      <name val="Aptos Narrow"/>
      <family val="2"/>
      <scheme val="minor"/>
    </font>
    <font>
      <sz val="10"/>
      <name val="Arial"/>
      <family val="2"/>
    </font>
    <font>
      <b/>
      <sz val="9"/>
      <color indexed="81"/>
      <name val="Tahoma"/>
      <family val="2"/>
    </font>
    <font>
      <sz val="9"/>
      <color indexed="81"/>
      <name val="Tahoma"/>
      <family val="2"/>
    </font>
    <font>
      <b/>
      <sz val="9"/>
      <color theme="0"/>
      <name val="Arial Narrow"/>
      <family val="2"/>
    </font>
    <font>
      <b/>
      <vertAlign val="superscript"/>
      <sz val="9"/>
      <color theme="0"/>
      <name val="Arial Narrow"/>
      <family val="2"/>
    </font>
    <font>
      <sz val="9"/>
      <color theme="1"/>
      <name val="Arial Narrow"/>
      <family val="2"/>
    </font>
    <font>
      <b/>
      <sz val="9"/>
      <color theme="1"/>
      <name val="Arial Narrow"/>
      <family val="2"/>
    </font>
  </fonts>
  <fills count="11">
    <fill>
      <patternFill patternType="none"/>
    </fill>
    <fill>
      <patternFill patternType="gray125"/>
    </fill>
    <fill>
      <patternFill patternType="solid">
        <fgColor rgb="FFCC99FF"/>
        <bgColor indexed="64"/>
      </patternFill>
    </fill>
    <fill>
      <patternFill patternType="solid">
        <fgColor rgb="FFFFFF0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rgb="FF92D050"/>
        <bgColor indexed="64"/>
      </patternFill>
    </fill>
    <fill>
      <patternFill patternType="solid">
        <fgColor rgb="FF4B575D"/>
        <bgColor indexed="64"/>
      </patternFill>
    </fill>
    <fill>
      <patternFill patternType="solid">
        <fgColor rgb="FFD3D5CF"/>
        <bgColor indexed="64"/>
      </patternFill>
    </fill>
    <fill>
      <patternFill patternType="solid">
        <fgColor theme="4" tint="0.79998168889431442"/>
        <bgColor indexed="64"/>
      </patternFill>
    </fill>
    <fill>
      <patternFill patternType="solid">
        <fgColor rgb="FFB8CBBF"/>
        <bgColor indexed="64"/>
      </patternFill>
    </fill>
  </fills>
  <borders count="7">
    <border>
      <left/>
      <right/>
      <top/>
      <bottom/>
      <diagonal/>
    </border>
    <border>
      <left/>
      <right/>
      <top/>
      <bottom style="medium">
        <color theme="4" tint="0.39997558519241921"/>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right style="thin">
        <color theme="0"/>
      </right>
      <top style="thin">
        <color theme="0"/>
      </top>
      <bottom style="thin">
        <color theme="0"/>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1" applyNumberFormat="0" applyFill="0" applyAlignment="0" applyProtection="0"/>
    <xf numFmtId="43" fontId="9" fillId="0" borderId="0" applyFont="0" applyFill="0" applyBorder="0" applyAlignment="0" applyProtection="0"/>
  </cellStyleXfs>
  <cellXfs count="56">
    <xf numFmtId="0" fontId="0" fillId="0" borderId="0" xfId="0"/>
    <xf numFmtId="0" fontId="0" fillId="0" borderId="0" xfId="0" applyAlignment="1">
      <alignment horizontal="center" wrapText="1"/>
    </xf>
    <xf numFmtId="0" fontId="0" fillId="4" borderId="3" xfId="0" applyFill="1" applyBorder="1" applyAlignment="1">
      <alignment wrapText="1"/>
    </xf>
    <xf numFmtId="0" fontId="0" fillId="0" borderId="0" xfId="0" applyFont="1" applyFill="1" applyAlignment="1">
      <alignment horizontal="center" wrapText="1"/>
    </xf>
    <xf numFmtId="0" fontId="4" fillId="0" borderId="2" xfId="0" applyFont="1" applyFill="1" applyBorder="1"/>
    <xf numFmtId="0" fontId="0" fillId="0" borderId="0" xfId="0" applyFont="1" applyFill="1" applyAlignment="1">
      <alignment horizontal="left" vertical="top" wrapText="1"/>
    </xf>
    <xf numFmtId="0" fontId="0" fillId="0" borderId="0" xfId="0" applyFont="1" applyFill="1" applyAlignment="1">
      <alignment horizontal="left" vertical="center" wrapText="1"/>
    </xf>
    <xf numFmtId="0" fontId="0" fillId="0" borderId="0" xfId="0" applyFont="1" applyFill="1" applyAlignment="1">
      <alignment wrapText="1"/>
    </xf>
    <xf numFmtId="0" fontId="7" fillId="0" borderId="0" xfId="0" applyFont="1" applyFill="1" applyAlignment="1">
      <alignment horizontal="left" vertical="top" wrapText="1"/>
    </xf>
    <xf numFmtId="0" fontId="7" fillId="0" borderId="0" xfId="0" applyFont="1" applyFill="1" applyAlignment="1">
      <alignment wrapText="1"/>
    </xf>
    <xf numFmtId="44" fontId="0" fillId="0" borderId="0" xfId="2" applyFont="1"/>
    <xf numFmtId="9" fontId="0" fillId="0" borderId="0" xfId="3" applyFont="1"/>
    <xf numFmtId="0" fontId="0" fillId="4" borderId="3" xfId="0" applyFill="1" applyBorder="1"/>
    <xf numFmtId="164" fontId="0" fillId="4" borderId="3" xfId="2" applyNumberFormat="1" applyFont="1" applyFill="1" applyBorder="1"/>
    <xf numFmtId="0" fontId="0" fillId="0" borderId="2" xfId="0" applyBorder="1"/>
    <xf numFmtId="0" fontId="5" fillId="0" borderId="2" xfId="0" applyFont="1" applyBorder="1" applyAlignment="1">
      <alignment horizontal="left"/>
    </xf>
    <xf numFmtId="14" fontId="5" fillId="0" borderId="2" xfId="0" applyNumberFormat="1" applyFont="1" applyBorder="1" applyAlignment="1">
      <alignment horizontal="center"/>
    </xf>
    <xf numFmtId="43" fontId="0" fillId="0" borderId="2" xfId="1" applyFont="1" applyFill="1" applyBorder="1"/>
    <xf numFmtId="14" fontId="0" fillId="0" borderId="2" xfId="0" applyNumberFormat="1" applyBorder="1" applyAlignment="1">
      <alignment horizontal="center"/>
    </xf>
    <xf numFmtId="0" fontId="6" fillId="3" borderId="2" xfId="0" applyFont="1" applyFill="1" applyBorder="1"/>
    <xf numFmtId="14" fontId="0" fillId="3" borderId="2" xfId="0" applyNumberFormat="1" applyFill="1" applyBorder="1"/>
    <xf numFmtId="0" fontId="0" fillId="3" borderId="2" xfId="0" applyFill="1" applyBorder="1"/>
    <xf numFmtId="0" fontId="6" fillId="0" borderId="0" xfId="0" applyFont="1"/>
    <xf numFmtId="14" fontId="6" fillId="0" borderId="2" xfId="0" applyNumberFormat="1" applyFont="1" applyBorder="1" applyAlignment="1">
      <alignment horizontal="center"/>
    </xf>
    <xf numFmtId="44" fontId="6" fillId="0" borderId="2" xfId="5" applyNumberFormat="1" applyFont="1" applyFill="1" applyBorder="1"/>
    <xf numFmtId="0" fontId="6" fillId="0" borderId="2" xfId="0" applyFont="1" applyBorder="1" applyAlignment="1">
      <alignment horizontal="left"/>
    </xf>
    <xf numFmtId="0" fontId="0" fillId="5" borderId="0" xfId="0" applyFill="1"/>
    <xf numFmtId="0" fontId="0" fillId="0" borderId="0" xfId="0" applyAlignment="1">
      <alignment horizontal="right"/>
    </xf>
    <xf numFmtId="43" fontId="0" fillId="0" borderId="0" xfId="0" applyNumberFormat="1"/>
    <xf numFmtId="0" fontId="3" fillId="0" borderId="0" xfId="0" applyFont="1"/>
    <xf numFmtId="1" fontId="0" fillId="0" borderId="0" xfId="0" applyNumberFormat="1"/>
    <xf numFmtId="0" fontId="0" fillId="3" borderId="0" xfId="0" applyFill="1"/>
    <xf numFmtId="0" fontId="0" fillId="0" borderId="0" xfId="0" applyAlignment="1">
      <alignment horizontal="center"/>
    </xf>
    <xf numFmtId="44" fontId="3" fillId="0" borderId="0" xfId="2" applyFont="1"/>
    <xf numFmtId="0" fontId="3" fillId="0" borderId="0" xfId="0" applyFont="1" applyAlignment="1">
      <alignment horizontal="right"/>
    </xf>
    <xf numFmtId="44" fontId="3" fillId="6" borderId="0" xfId="2" applyFont="1" applyFill="1"/>
    <xf numFmtId="0" fontId="0" fillId="0" borderId="0" xfId="0" applyAlignment="1">
      <alignment horizontal="right" indent="1"/>
    </xf>
    <xf numFmtId="0" fontId="12" fillId="7" borderId="4" xfId="0" applyFont="1" applyFill="1" applyBorder="1" applyAlignment="1">
      <alignment horizontal="center" wrapText="1"/>
    </xf>
    <xf numFmtId="42" fontId="12" fillId="7" borderId="4" xfId="0" applyNumberFormat="1" applyFont="1" applyFill="1" applyBorder="1" applyAlignment="1">
      <alignment horizontal="center" wrapText="1"/>
    </xf>
    <xf numFmtId="0" fontId="12" fillId="7" borderId="5" xfId="0" applyFont="1" applyFill="1" applyBorder="1" applyAlignment="1">
      <alignment horizontal="center" wrapText="1"/>
    </xf>
    <xf numFmtId="0" fontId="14" fillId="8" borderId="4" xfId="0" applyFont="1" applyFill="1" applyBorder="1"/>
    <xf numFmtId="4" fontId="14" fillId="8" borderId="4" xfId="0" applyNumberFormat="1" applyFont="1" applyFill="1" applyBorder="1"/>
    <xf numFmtId="9" fontId="14" fillId="8" borderId="4" xfId="3" applyFont="1" applyFill="1" applyBorder="1"/>
    <xf numFmtId="0" fontId="0" fillId="9" borderId="4" xfId="0" applyFill="1" applyBorder="1" applyAlignment="1">
      <alignment horizontal="center"/>
    </xf>
    <xf numFmtId="0" fontId="0" fillId="0" borderId="4" xfId="0" applyBorder="1" applyAlignment="1">
      <alignment horizontal="center"/>
    </xf>
    <xf numFmtId="44" fontId="0" fillId="0" borderId="4" xfId="0" applyNumberFormat="1" applyBorder="1"/>
    <xf numFmtId="0" fontId="14" fillId="10" borderId="4" xfId="0" applyFont="1" applyFill="1" applyBorder="1"/>
    <xf numFmtId="4" fontId="14" fillId="10" borderId="4" xfId="0" applyNumberFormat="1" applyFont="1" applyFill="1" applyBorder="1"/>
    <xf numFmtId="9" fontId="14" fillId="10" borderId="4" xfId="3" applyFont="1" applyFill="1" applyBorder="1"/>
    <xf numFmtId="0" fontId="14" fillId="9" borderId="4" xfId="1" applyNumberFormat="1" applyFont="1" applyFill="1" applyBorder="1" applyAlignment="1">
      <alignment horizontal="center"/>
    </xf>
    <xf numFmtId="165" fontId="1" fillId="0" borderId="4" xfId="1" applyNumberFormat="1" applyFont="1" applyFill="1" applyBorder="1" applyAlignment="1">
      <alignment horizontal="center"/>
    </xf>
    <xf numFmtId="44" fontId="1" fillId="0" borderId="4" xfId="2" applyFont="1" applyFill="1" applyBorder="1"/>
    <xf numFmtId="165" fontId="15" fillId="0" borderId="6" xfId="1" applyNumberFormat="1" applyFont="1" applyFill="1" applyBorder="1"/>
    <xf numFmtId="0" fontId="0" fillId="9" borderId="0" xfId="0" applyFill="1" applyAlignment="1">
      <alignment horizontal="center"/>
    </xf>
    <xf numFmtId="0" fontId="2" fillId="0" borderId="1" xfId="4"/>
    <xf numFmtId="0" fontId="2" fillId="2" borderId="1" xfId="4" applyFill="1" applyAlignment="1">
      <alignment horizontal="center" wrapText="1"/>
    </xf>
  </cellXfs>
  <cellStyles count="6">
    <cellStyle name="Comma" xfId="1" builtinId="3"/>
    <cellStyle name="Comma 2" xfId="5" xr:uid="{09BA6E22-FD42-4CD2-9290-2E4D9C27CF60}"/>
    <cellStyle name="Currency" xfId="2" builtinId="4"/>
    <cellStyle name="Heading 3" xfId="4" builtinId="1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Kaaren Hofmann" id="{360E0993-5B24-4A4C-BC8B-D84643CCF29B}" userId="S::Hofmann@newbergoregon.gov::dde2db29-f38d-4777-ac25-c30e564469c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I10" dT="2023-07-14T19:22:31.98" personId="{360E0993-5B24-4A4C-BC8B-D84643CCF29B}" id="{06C83A2B-0079-4C3E-9F31-F95FDDE83E0C}">
    <text>Existing Population = 25767</text>
  </threadedComment>
  <threadedComment ref="J10" dT="2023-07-14T19:22:59.49" personId="{360E0993-5B24-4A4C-BC8B-D84643CCF29B}" id="{6B2762B9-9588-45AE-A683-DC7990AE9B52}">
    <text>Population Estimate 32780</text>
  </threadedComment>
</ThreadedComment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2E999-E2BB-4C49-BD7D-FD056E74F30B}">
  <dimension ref="A3:N27"/>
  <sheetViews>
    <sheetView tabSelected="1" workbookViewId="0">
      <selection activeCell="H9" sqref="H9:H18"/>
    </sheetView>
  </sheetViews>
  <sheetFormatPr defaultRowHeight="15" x14ac:dyDescent="0.25"/>
  <cols>
    <col min="10" max="10" width="10.5703125" bestFit="1" customWidth="1"/>
  </cols>
  <sheetData>
    <row r="3" spans="1:14" ht="83.25" x14ac:dyDescent="0.25">
      <c r="A3" s="37" t="s">
        <v>140</v>
      </c>
      <c r="B3" s="38" t="s">
        <v>141</v>
      </c>
      <c r="C3" s="38" t="s">
        <v>142</v>
      </c>
      <c r="D3" s="37" t="s">
        <v>143</v>
      </c>
      <c r="E3" s="37" t="s">
        <v>144</v>
      </c>
      <c r="F3" s="37" t="s">
        <v>145</v>
      </c>
      <c r="G3" s="37" t="s">
        <v>146</v>
      </c>
      <c r="H3" s="39" t="s">
        <v>147</v>
      </c>
      <c r="I3" s="39" t="s">
        <v>148</v>
      </c>
      <c r="J3" s="39" t="s">
        <v>149</v>
      </c>
      <c r="N3" s="1"/>
    </row>
    <row r="5" spans="1:14" x14ac:dyDescent="0.25">
      <c r="A5" s="40">
        <v>110</v>
      </c>
      <c r="B5" s="40" t="s">
        <v>150</v>
      </c>
      <c r="C5" s="40" t="s">
        <v>151</v>
      </c>
      <c r="D5" s="41">
        <v>1.08</v>
      </c>
      <c r="E5" s="42">
        <v>1</v>
      </c>
      <c r="F5" s="41">
        <f t="shared" ref="F5:F18" si="0">D5*E5</f>
        <v>1.08</v>
      </c>
      <c r="G5" s="41">
        <f>F5*1.68</f>
        <v>1.8144</v>
      </c>
      <c r="H5" s="43">
        <v>0</v>
      </c>
      <c r="I5" s="44" t="s">
        <v>152</v>
      </c>
      <c r="J5" s="45">
        <f>H5/1000*'Charge Analysis'!C21*G5*M27</f>
        <v>0</v>
      </c>
      <c r="N5" s="10"/>
    </row>
    <row r="6" spans="1:14" x14ac:dyDescent="0.25">
      <c r="A6" s="40">
        <v>140</v>
      </c>
      <c r="B6" s="40" t="s">
        <v>153</v>
      </c>
      <c r="C6" s="40" t="s">
        <v>151</v>
      </c>
      <c r="D6" s="41">
        <v>0.75</v>
      </c>
      <c r="E6" s="42">
        <v>1</v>
      </c>
      <c r="F6" s="41">
        <f t="shared" si="0"/>
        <v>0.75</v>
      </c>
      <c r="G6" s="41">
        <f t="shared" ref="G6:G16" si="1">F6*1.68</f>
        <v>1.26</v>
      </c>
      <c r="H6" s="43">
        <v>0</v>
      </c>
      <c r="I6" s="44" t="s">
        <v>152</v>
      </c>
      <c r="J6" s="45">
        <f>H6/1000*'Charge Analysis'!C21*G6*M27</f>
        <v>0</v>
      </c>
      <c r="N6" s="10"/>
    </row>
    <row r="7" spans="1:14" x14ac:dyDescent="0.25">
      <c r="A7" s="46">
        <v>210</v>
      </c>
      <c r="B7" s="46" t="s">
        <v>154</v>
      </c>
      <c r="C7" s="46" t="s">
        <v>155</v>
      </c>
      <c r="D7" s="47">
        <v>1.02</v>
      </c>
      <c r="E7" s="48">
        <v>1</v>
      </c>
      <c r="F7" s="47">
        <f t="shared" si="0"/>
        <v>1.02</v>
      </c>
      <c r="G7" s="47">
        <f t="shared" si="1"/>
        <v>1.7136</v>
      </c>
      <c r="H7" s="44" t="s">
        <v>152</v>
      </c>
      <c r="I7" s="43">
        <v>0</v>
      </c>
      <c r="J7" s="45">
        <f>I7*'Charge Analysis'!C21*G7*M27</f>
        <v>0</v>
      </c>
      <c r="N7" s="10"/>
    </row>
    <row r="8" spans="1:14" x14ac:dyDescent="0.25">
      <c r="A8" s="40">
        <v>220</v>
      </c>
      <c r="B8" s="40" t="s">
        <v>156</v>
      </c>
      <c r="C8" s="40" t="s">
        <v>155</v>
      </c>
      <c r="D8" s="41">
        <v>0.67</v>
      </c>
      <c r="E8" s="42">
        <v>1</v>
      </c>
      <c r="F8" s="41">
        <f t="shared" si="0"/>
        <v>0.67</v>
      </c>
      <c r="G8" s="41">
        <f t="shared" si="1"/>
        <v>1.1255999999999999</v>
      </c>
      <c r="H8" s="44" t="s">
        <v>152</v>
      </c>
      <c r="I8" s="43">
        <v>0</v>
      </c>
      <c r="J8" s="45">
        <f>I8*'Charge Analysis'!C21*G8*M27</f>
        <v>0</v>
      </c>
      <c r="N8" s="10"/>
    </row>
    <row r="9" spans="1:14" x14ac:dyDescent="0.25">
      <c r="A9" s="46">
        <v>492</v>
      </c>
      <c r="B9" s="46" t="s">
        <v>157</v>
      </c>
      <c r="C9" s="46" t="s">
        <v>151</v>
      </c>
      <c r="D9" s="47">
        <v>4.0599999999999996</v>
      </c>
      <c r="E9" s="48">
        <v>1</v>
      </c>
      <c r="F9" s="47">
        <f t="shared" si="0"/>
        <v>4.0599999999999996</v>
      </c>
      <c r="G9" s="47">
        <f t="shared" si="1"/>
        <v>6.8207999999999993</v>
      </c>
      <c r="H9" s="43">
        <v>0</v>
      </c>
      <c r="I9" s="44" t="s">
        <v>152</v>
      </c>
      <c r="J9" s="45">
        <f>H9/1000*'Charge Analysis'!C21*G9*M27</f>
        <v>0</v>
      </c>
      <c r="N9" s="10"/>
    </row>
    <row r="10" spans="1:14" x14ac:dyDescent="0.25">
      <c r="A10" s="46">
        <v>530</v>
      </c>
      <c r="B10" s="46" t="s">
        <v>158</v>
      </c>
      <c r="C10" s="46" t="s">
        <v>151</v>
      </c>
      <c r="D10" s="47">
        <v>2.12</v>
      </c>
      <c r="E10" s="48">
        <v>0.59</v>
      </c>
      <c r="F10" s="47">
        <f t="shared" si="0"/>
        <v>1.2507999999999999</v>
      </c>
      <c r="G10" s="47">
        <f t="shared" si="1"/>
        <v>2.1013439999999997</v>
      </c>
      <c r="H10" s="43">
        <v>0</v>
      </c>
      <c r="I10" s="44" t="s">
        <v>152</v>
      </c>
      <c r="J10" s="45">
        <f>H10/1000*'Charge Analysis'!C21*G10*M27</f>
        <v>0</v>
      </c>
      <c r="N10" s="10"/>
    </row>
    <row r="11" spans="1:14" x14ac:dyDescent="0.25">
      <c r="A11" s="40">
        <v>540</v>
      </c>
      <c r="B11" s="40" t="s">
        <v>159</v>
      </c>
      <c r="C11" s="40" t="s">
        <v>151</v>
      </c>
      <c r="D11" s="41">
        <v>2.64</v>
      </c>
      <c r="E11" s="42">
        <v>1</v>
      </c>
      <c r="F11" s="41">
        <f t="shared" si="0"/>
        <v>2.64</v>
      </c>
      <c r="G11" s="41">
        <f t="shared" si="1"/>
        <v>4.4352</v>
      </c>
      <c r="H11" s="43">
        <v>0</v>
      </c>
      <c r="I11" s="44" t="s">
        <v>152</v>
      </c>
      <c r="J11" s="45">
        <f>H11/1000*'Charge Analysis'!C21*G11*M27</f>
        <v>0</v>
      </c>
      <c r="N11" s="10"/>
    </row>
    <row r="12" spans="1:14" x14ac:dyDescent="0.25">
      <c r="A12" s="46">
        <v>560</v>
      </c>
      <c r="B12" s="46" t="s">
        <v>160</v>
      </c>
      <c r="C12" s="46" t="s">
        <v>151</v>
      </c>
      <c r="D12" s="47">
        <v>0.94</v>
      </c>
      <c r="E12" s="48">
        <v>1</v>
      </c>
      <c r="F12" s="47">
        <f t="shared" si="0"/>
        <v>0.94</v>
      </c>
      <c r="G12" s="47">
        <f t="shared" si="1"/>
        <v>1.5791999999999999</v>
      </c>
      <c r="H12" s="43">
        <v>0</v>
      </c>
      <c r="I12" s="44" t="s">
        <v>152</v>
      </c>
      <c r="J12" s="45">
        <f>H12/1000*'Charge Analysis'!C21*G12*M27</f>
        <v>0</v>
      </c>
      <c r="N12" s="10"/>
    </row>
    <row r="13" spans="1:14" x14ac:dyDescent="0.25">
      <c r="A13" s="40">
        <v>710</v>
      </c>
      <c r="B13" s="40" t="s">
        <v>161</v>
      </c>
      <c r="C13" s="40" t="s">
        <v>151</v>
      </c>
      <c r="D13" s="41">
        <v>1.49</v>
      </c>
      <c r="E13" s="42">
        <v>1</v>
      </c>
      <c r="F13" s="41">
        <f t="shared" si="0"/>
        <v>1.49</v>
      </c>
      <c r="G13" s="41">
        <f t="shared" si="1"/>
        <v>2.5032000000000001</v>
      </c>
      <c r="H13" s="43">
        <v>0</v>
      </c>
      <c r="I13" s="44" t="s">
        <v>152</v>
      </c>
      <c r="J13" s="45">
        <f>H13/1000*'Charge Analysis'!C21*G13*M27</f>
        <v>0</v>
      </c>
      <c r="N13" s="10"/>
    </row>
    <row r="14" spans="1:14" x14ac:dyDescent="0.25">
      <c r="A14" s="46">
        <v>820</v>
      </c>
      <c r="B14" s="46" t="s">
        <v>162</v>
      </c>
      <c r="C14" s="46" t="s">
        <v>163</v>
      </c>
      <c r="D14" s="47">
        <v>3.71</v>
      </c>
      <c r="E14" s="48">
        <v>0.50139999999999996</v>
      </c>
      <c r="F14" s="47">
        <f t="shared" si="0"/>
        <v>1.8601939999999999</v>
      </c>
      <c r="G14" s="47">
        <f t="shared" si="1"/>
        <v>3.1251259199999999</v>
      </c>
      <c r="H14" s="43">
        <v>0</v>
      </c>
      <c r="I14" s="44" t="s">
        <v>152</v>
      </c>
      <c r="J14" s="45">
        <f>H14/1000*'Charge Analysis'!C21*G14*M27</f>
        <v>0</v>
      </c>
      <c r="N14" s="10"/>
    </row>
    <row r="15" spans="1:14" x14ac:dyDescent="0.25">
      <c r="A15" s="46">
        <v>934</v>
      </c>
      <c r="B15" s="46" t="s">
        <v>164</v>
      </c>
      <c r="C15" s="46" t="s">
        <v>151</v>
      </c>
      <c r="D15" s="47">
        <v>47.3</v>
      </c>
      <c r="E15" s="48">
        <v>0.4094444444444445</v>
      </c>
      <c r="F15" s="47">
        <f t="shared" si="0"/>
        <v>19.366722222222222</v>
      </c>
      <c r="G15" s="47">
        <f t="shared" si="1"/>
        <v>32.536093333333334</v>
      </c>
      <c r="H15" s="43">
        <v>0</v>
      </c>
      <c r="I15" s="44" t="s">
        <v>152</v>
      </c>
      <c r="J15" s="45">
        <f>H15/1000*'Charge Analysis'!C21*G15*M27</f>
        <v>0</v>
      </c>
      <c r="N15" s="10"/>
    </row>
    <row r="16" spans="1:14" x14ac:dyDescent="0.25">
      <c r="A16" s="46">
        <v>937</v>
      </c>
      <c r="B16" s="46" t="s">
        <v>165</v>
      </c>
      <c r="C16" s="46" t="s">
        <v>151</v>
      </c>
      <c r="D16" s="47">
        <v>36.159999999999997</v>
      </c>
      <c r="E16" s="48">
        <v>0.4094444444444445</v>
      </c>
      <c r="F16" s="47">
        <f t="shared" si="0"/>
        <v>14.805511111111112</v>
      </c>
      <c r="G16" s="47">
        <f t="shared" si="1"/>
        <v>24.873258666666668</v>
      </c>
      <c r="H16" s="43">
        <v>0</v>
      </c>
      <c r="I16" s="44" t="s">
        <v>152</v>
      </c>
      <c r="J16" s="45">
        <f>H16/1000*'Charge Analysis'!C21*G16*M27</f>
        <v>0</v>
      </c>
      <c r="N16" s="10"/>
    </row>
    <row r="17" spans="1:14" x14ac:dyDescent="0.25">
      <c r="A17" s="40">
        <v>565</v>
      </c>
      <c r="B17" s="40" t="s">
        <v>166</v>
      </c>
      <c r="C17" s="40" t="s">
        <v>151</v>
      </c>
      <c r="D17" s="41">
        <v>13.75</v>
      </c>
      <c r="E17" s="42">
        <v>0.33000000000000007</v>
      </c>
      <c r="F17" s="41">
        <f t="shared" si="0"/>
        <v>4.5375000000000014</v>
      </c>
      <c r="G17" s="41">
        <f>F17*1.68</f>
        <v>7.623000000000002</v>
      </c>
      <c r="H17" s="49">
        <v>0</v>
      </c>
      <c r="I17" s="50" t="s">
        <v>152</v>
      </c>
      <c r="J17" s="51">
        <f>H17/1000*'Charge Analysis'!C21*G17*M27</f>
        <v>0</v>
      </c>
      <c r="K17" s="52"/>
      <c r="N17" s="10"/>
    </row>
    <row r="18" spans="1:14" x14ac:dyDescent="0.25">
      <c r="A18" s="40">
        <v>931</v>
      </c>
      <c r="B18" s="40" t="s">
        <v>167</v>
      </c>
      <c r="C18" s="40" t="s">
        <v>151</v>
      </c>
      <c r="D18" s="41">
        <v>9.02</v>
      </c>
      <c r="E18" s="42">
        <v>0.42500000000000004</v>
      </c>
      <c r="F18" s="41">
        <f t="shared" si="0"/>
        <v>3.8335000000000004</v>
      </c>
      <c r="G18" s="41">
        <f>F18*1.68</f>
        <v>6.4402800000000004</v>
      </c>
      <c r="H18" s="49">
        <v>0</v>
      </c>
      <c r="I18" s="50" t="s">
        <v>152</v>
      </c>
      <c r="J18" s="51">
        <f>H18/1000*'Charge Analysis'!C21*G18*M27</f>
        <v>0</v>
      </c>
      <c r="N18" s="10"/>
    </row>
    <row r="20" spans="1:14" x14ac:dyDescent="0.25">
      <c r="B20" s="53" t="s">
        <v>168</v>
      </c>
    </row>
    <row r="27" spans="1:14" x14ac:dyDescent="0.25">
      <c r="L27" t="s">
        <v>169</v>
      </c>
      <c r="M27">
        <v>1</v>
      </c>
    </row>
  </sheetData>
  <sheetProtection algorithmName="SHA-512" hashValue="LK07d8n2LPXYOF3CjvXPYbDhyTtL/8WU7FEbbDI6lOJw8WUsfzjT4ep8B5Z52oftt/aq65Zd/UiU5xeHk0RRlQ==" saltValue="6Mar6fhLDI9FUVqDyTW0Zg==" spinCount="100000" sheet="1" objects="1" scenarios="1" selectLockedCells="1"/>
  <protectedRanges>
    <protectedRange sqref="H9:H18" name="Range3"/>
    <protectedRange sqref="H5:H6" name="Range1"/>
    <protectedRange sqref="I7:I8" name="Range2"/>
  </protectedRange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D40E9-EC9E-44E2-87B3-ACEE5F0E3697}">
  <dimension ref="A2:C26"/>
  <sheetViews>
    <sheetView workbookViewId="0">
      <selection activeCell="B33" sqref="B33"/>
    </sheetView>
  </sheetViews>
  <sheetFormatPr defaultRowHeight="15" x14ac:dyDescent="0.25"/>
  <cols>
    <col min="1" max="1" width="25.7109375" customWidth="1"/>
    <col min="2" max="2" width="13.5703125" customWidth="1"/>
    <col min="3" max="3" width="16.42578125" customWidth="1"/>
  </cols>
  <sheetData>
    <row r="2" spans="1:3" x14ac:dyDescent="0.25">
      <c r="C2" s="32" t="s">
        <v>131</v>
      </c>
    </row>
    <row r="3" spans="1:3" x14ac:dyDescent="0.25">
      <c r="A3" t="s">
        <v>132</v>
      </c>
      <c r="C3" s="10">
        <f>'Inventory of Current System'!E35</f>
        <v>12112481.599999998</v>
      </c>
    </row>
    <row r="4" spans="1:3" x14ac:dyDescent="0.25">
      <c r="A4" t="s">
        <v>133</v>
      </c>
      <c r="C4" s="30">
        <f>'Planning Data'!B10</f>
        <v>9116.9000000000015</v>
      </c>
    </row>
    <row r="5" spans="1:3" x14ac:dyDescent="0.25">
      <c r="A5" t="s">
        <v>134</v>
      </c>
      <c r="C5" s="10">
        <f>C3/C4</f>
        <v>1328.5745812721425</v>
      </c>
    </row>
    <row r="9" spans="1:3" x14ac:dyDescent="0.25">
      <c r="A9" s="29" t="s">
        <v>135</v>
      </c>
      <c r="B9" s="29"/>
      <c r="C9" s="33">
        <f>C5</f>
        <v>1328.5745812721425</v>
      </c>
    </row>
    <row r="14" spans="1:3" x14ac:dyDescent="0.25">
      <c r="A14" t="s">
        <v>136</v>
      </c>
      <c r="C14" s="10">
        <f>'CIP List'!F79</f>
        <v>25227114.037459981</v>
      </c>
    </row>
    <row r="15" spans="1:3" x14ac:dyDescent="0.25">
      <c r="C15" s="30">
        <f>'Planning Data'!B10</f>
        <v>9116.9000000000015</v>
      </c>
    </row>
    <row r="16" spans="1:3" x14ac:dyDescent="0.25">
      <c r="C16" s="10">
        <f>C14/C15</f>
        <v>2767.0714867400079</v>
      </c>
    </row>
    <row r="18" spans="1:3" x14ac:dyDescent="0.25">
      <c r="A18" s="29" t="s">
        <v>137</v>
      </c>
      <c r="C18" s="33">
        <f>C16</f>
        <v>2767.0714867400079</v>
      </c>
    </row>
    <row r="21" spans="1:3" x14ac:dyDescent="0.25">
      <c r="A21" s="29"/>
      <c r="B21" s="34" t="s">
        <v>138</v>
      </c>
      <c r="C21" s="35">
        <f>C18+C9</f>
        <v>4095.6460680121504</v>
      </c>
    </row>
    <row r="26" spans="1:3" x14ac:dyDescent="0.25">
      <c r="A26" s="36" t="s">
        <v>139</v>
      </c>
      <c r="B26" s="10">
        <v>4903</v>
      </c>
    </row>
  </sheetData>
  <sheetProtection algorithmName="SHA-512" hashValue="MLK0JA5wAC19OG+zfTYGjYc4Kq6kKjyHUI0xZxjsJJo9O4DO8POasWLNYdPL9KsGqttZdES0fdSx9inUvQvP8Q==" saltValue="qy9IcIRBUL/QrSXjXPaHmQ==" spinCount="100000" sheet="1" objects="1" scenarios="1" selectLockedCells="1" selectUnlockedCells="1"/>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C0338-B37D-4AA8-AA3F-9011584484DE}">
  <dimension ref="A2:K20"/>
  <sheetViews>
    <sheetView workbookViewId="0">
      <selection activeCell="H17" sqref="H17"/>
    </sheetView>
  </sheetViews>
  <sheetFormatPr defaultRowHeight="15" x14ac:dyDescent="0.25"/>
  <cols>
    <col min="1" max="1" width="22.28515625" customWidth="1"/>
    <col min="2" max="2" width="14.85546875" customWidth="1"/>
    <col min="3" max="4" width="11.5703125" customWidth="1"/>
  </cols>
  <sheetData>
    <row r="2" spans="1:11" x14ac:dyDescent="0.25">
      <c r="A2" s="29" t="s">
        <v>123</v>
      </c>
    </row>
    <row r="5" spans="1:11" x14ac:dyDescent="0.25">
      <c r="A5" t="s">
        <v>124</v>
      </c>
      <c r="B5" s="30">
        <f>I10*1.3</f>
        <v>33497.1</v>
      </c>
    </row>
    <row r="7" spans="1:11" x14ac:dyDescent="0.25">
      <c r="A7" t="s">
        <v>125</v>
      </c>
      <c r="B7">
        <f>J10*1.3</f>
        <v>42614</v>
      </c>
    </row>
    <row r="8" spans="1:11" x14ac:dyDescent="0.25">
      <c r="F8" s="31"/>
      <c r="G8" s="31"/>
      <c r="H8" s="31"/>
      <c r="I8" s="31"/>
      <c r="J8" s="31"/>
      <c r="K8" s="31"/>
    </row>
    <row r="9" spans="1:11" x14ac:dyDescent="0.25">
      <c r="F9" s="31"/>
      <c r="G9" s="31"/>
      <c r="H9" s="31">
        <v>2017</v>
      </c>
      <c r="I9" s="31">
        <v>2025</v>
      </c>
      <c r="J9" s="31">
        <v>2040</v>
      </c>
      <c r="K9" s="31"/>
    </row>
    <row r="10" spans="1:11" x14ac:dyDescent="0.25">
      <c r="A10" t="s">
        <v>126</v>
      </c>
      <c r="B10" s="30">
        <f>B7-B5</f>
        <v>9116.9000000000015</v>
      </c>
      <c r="F10" s="31"/>
      <c r="G10" s="31" t="s">
        <v>127</v>
      </c>
      <c r="H10" s="31">
        <v>31189</v>
      </c>
      <c r="I10" s="31">
        <v>25767</v>
      </c>
      <c r="J10" s="31">
        <v>32780</v>
      </c>
      <c r="K10" s="31"/>
    </row>
    <row r="11" spans="1:11" x14ac:dyDescent="0.25">
      <c r="F11" s="31"/>
      <c r="G11" s="31"/>
      <c r="H11" s="31"/>
      <c r="I11" s="31"/>
      <c r="J11" s="31"/>
      <c r="K11" s="31"/>
    </row>
    <row r="13" spans="1:11" x14ac:dyDescent="0.25">
      <c r="J13" s="11">
        <f>1 - I10/J10</f>
        <v>0.21394142769981694</v>
      </c>
    </row>
    <row r="15" spans="1:11" x14ac:dyDescent="0.25">
      <c r="A15" s="29"/>
    </row>
    <row r="17" spans="1:2" x14ac:dyDescent="0.25">
      <c r="A17" t="s">
        <v>128</v>
      </c>
    </row>
    <row r="18" spans="1:2" x14ac:dyDescent="0.25">
      <c r="A18" t="s">
        <v>129</v>
      </c>
    </row>
    <row r="19" spans="1:2" x14ac:dyDescent="0.25">
      <c r="A19" t="s">
        <v>130</v>
      </c>
    </row>
    <row r="20" spans="1:2" x14ac:dyDescent="0.25">
      <c r="B20" s="11"/>
    </row>
  </sheetData>
  <sheetProtection algorithmName="SHA-512" hashValue="94J+H/LhAFpmRCXhAcjy+PEVeg4YEh/s0WZI/uSj8mXYOrakNfxyqAQB8xlPaMf/QAdwmQKVAZ+T5XvJlG01uw==" saltValue="zZnCgMrw0v5ZjGO5mTSPAA==" spinCount="100000" sheet="1" objects="1" scenarios="1" selectLockedCells="1" selectUnlockedCells="1"/>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E66C3-DC72-4154-B9DD-7AA008FA7A32}">
  <dimension ref="A1:E37"/>
  <sheetViews>
    <sheetView workbookViewId="0"/>
  </sheetViews>
  <sheetFormatPr defaultRowHeight="15" x14ac:dyDescent="0.25"/>
  <cols>
    <col min="1" max="1" width="24.85546875" bestFit="1" customWidth="1"/>
    <col min="2" max="2" width="69.5703125" customWidth="1"/>
    <col min="3" max="3" width="40" customWidth="1"/>
    <col min="4" max="4" width="13" customWidth="1"/>
    <col min="5" max="5" width="15.28515625" bestFit="1" customWidth="1"/>
  </cols>
  <sheetData>
    <row r="1" spans="1:5" ht="15.75" thickBot="1" x14ac:dyDescent="0.3">
      <c r="A1" s="54" t="s">
        <v>79</v>
      </c>
      <c r="B1" s="54" t="s">
        <v>80</v>
      </c>
      <c r="C1" s="55" t="s">
        <v>81</v>
      </c>
      <c r="D1" s="54" t="s">
        <v>82</v>
      </c>
      <c r="E1" s="54" t="s">
        <v>83</v>
      </c>
    </row>
    <row r="2" spans="1:5" x14ac:dyDescent="0.25">
      <c r="A2" s="14" t="s">
        <v>84</v>
      </c>
      <c r="B2" s="15" t="s">
        <v>85</v>
      </c>
      <c r="C2" s="15"/>
      <c r="D2" s="16" t="s">
        <v>86</v>
      </c>
      <c r="E2" s="17">
        <v>163503</v>
      </c>
    </row>
    <row r="3" spans="1:5" x14ac:dyDescent="0.25">
      <c r="A3" s="14" t="s">
        <v>84</v>
      </c>
      <c r="B3" s="15" t="s">
        <v>87</v>
      </c>
      <c r="C3" s="15"/>
      <c r="D3" s="16" t="s">
        <v>86</v>
      </c>
      <c r="E3" s="17">
        <v>12592</v>
      </c>
    </row>
    <row r="4" spans="1:5" x14ac:dyDescent="0.25">
      <c r="A4" s="14" t="s">
        <v>84</v>
      </c>
      <c r="B4" s="15" t="s">
        <v>88</v>
      </c>
      <c r="C4" s="15"/>
      <c r="D4" s="16" t="s">
        <v>86</v>
      </c>
      <c r="E4" s="17">
        <v>16686</v>
      </c>
    </row>
    <row r="5" spans="1:5" x14ac:dyDescent="0.25">
      <c r="A5" s="14" t="s">
        <v>84</v>
      </c>
      <c r="B5" s="15" t="s">
        <v>89</v>
      </c>
      <c r="C5" s="15"/>
      <c r="D5" s="16" t="s">
        <v>86</v>
      </c>
      <c r="E5" s="17">
        <v>11580</v>
      </c>
    </row>
    <row r="6" spans="1:5" x14ac:dyDescent="0.25">
      <c r="A6" s="14" t="s">
        <v>84</v>
      </c>
      <c r="B6" s="15" t="s">
        <v>90</v>
      </c>
      <c r="C6" s="15"/>
      <c r="D6" s="16" t="s">
        <v>86</v>
      </c>
      <c r="E6" s="17">
        <v>79437</v>
      </c>
    </row>
    <row r="7" spans="1:5" x14ac:dyDescent="0.25">
      <c r="A7" s="14" t="s">
        <v>84</v>
      </c>
      <c r="B7" s="15" t="s">
        <v>91</v>
      </c>
      <c r="C7" s="15"/>
      <c r="D7" s="16" t="s">
        <v>86</v>
      </c>
      <c r="E7" s="17">
        <v>14929</v>
      </c>
    </row>
    <row r="8" spans="1:5" x14ac:dyDescent="0.25">
      <c r="A8" s="14" t="s">
        <v>84</v>
      </c>
      <c r="B8" s="15" t="s">
        <v>92</v>
      </c>
      <c r="C8" s="15"/>
      <c r="D8" s="16" t="s">
        <v>86</v>
      </c>
      <c r="E8" s="17">
        <v>26344</v>
      </c>
    </row>
    <row r="9" spans="1:5" x14ac:dyDescent="0.25">
      <c r="A9" s="14" t="s">
        <v>84</v>
      </c>
      <c r="B9" s="15" t="s">
        <v>93</v>
      </c>
      <c r="C9" s="15"/>
      <c r="D9" s="16" t="s">
        <v>86</v>
      </c>
      <c r="E9" s="17">
        <v>80865</v>
      </c>
    </row>
    <row r="10" spans="1:5" x14ac:dyDescent="0.25">
      <c r="A10" s="14" t="s">
        <v>84</v>
      </c>
      <c r="B10" s="15" t="s">
        <v>94</v>
      </c>
      <c r="C10" s="15"/>
      <c r="D10" s="16" t="s">
        <v>95</v>
      </c>
      <c r="E10" s="17">
        <v>150603</v>
      </c>
    </row>
    <row r="11" spans="1:5" x14ac:dyDescent="0.25">
      <c r="A11" s="14" t="s">
        <v>84</v>
      </c>
      <c r="B11" s="15" t="s">
        <v>96</v>
      </c>
      <c r="C11" s="15"/>
      <c r="D11" s="16" t="s">
        <v>95</v>
      </c>
      <c r="E11" s="17">
        <v>104400</v>
      </c>
    </row>
    <row r="12" spans="1:5" x14ac:dyDescent="0.25">
      <c r="A12" s="14" t="s">
        <v>84</v>
      </c>
      <c r="B12" s="15" t="s">
        <v>97</v>
      </c>
      <c r="C12" s="15"/>
      <c r="D12" s="16" t="s">
        <v>95</v>
      </c>
      <c r="E12" s="17">
        <v>554870</v>
      </c>
    </row>
    <row r="13" spans="1:5" x14ac:dyDescent="0.25">
      <c r="A13" s="14" t="s">
        <v>84</v>
      </c>
      <c r="B13" s="15" t="s">
        <v>98</v>
      </c>
      <c r="C13" s="15"/>
      <c r="D13" s="16" t="s">
        <v>99</v>
      </c>
      <c r="E13" s="17">
        <v>134314</v>
      </c>
    </row>
    <row r="14" spans="1:5" x14ac:dyDescent="0.25">
      <c r="A14" s="14" t="s">
        <v>84</v>
      </c>
      <c r="B14" s="15" t="s">
        <v>100</v>
      </c>
      <c r="C14" s="15"/>
      <c r="D14" s="16" t="s">
        <v>101</v>
      </c>
      <c r="E14" s="17">
        <v>861714</v>
      </c>
    </row>
    <row r="15" spans="1:5" x14ac:dyDescent="0.25">
      <c r="A15" s="14" t="s">
        <v>84</v>
      </c>
      <c r="B15" s="15" t="s">
        <v>102</v>
      </c>
      <c r="C15" s="15"/>
      <c r="D15" s="16" t="s">
        <v>103</v>
      </c>
      <c r="E15" s="17">
        <v>3419764</v>
      </c>
    </row>
    <row r="16" spans="1:5" x14ac:dyDescent="0.25">
      <c r="A16" s="14" t="s">
        <v>84</v>
      </c>
      <c r="B16" s="15" t="s">
        <v>104</v>
      </c>
      <c r="C16" s="15"/>
      <c r="D16" s="16" t="s">
        <v>103</v>
      </c>
      <c r="E16" s="17">
        <v>189240</v>
      </c>
    </row>
    <row r="17" spans="1:5" x14ac:dyDescent="0.25">
      <c r="A17" s="14" t="s">
        <v>105</v>
      </c>
      <c r="B17" s="14" t="s">
        <v>106</v>
      </c>
      <c r="C17" s="14"/>
      <c r="D17" s="16">
        <v>44742</v>
      </c>
      <c r="E17" s="17">
        <v>142767.07999999999</v>
      </c>
    </row>
    <row r="18" spans="1:5" x14ac:dyDescent="0.25">
      <c r="A18" s="14" t="s">
        <v>105</v>
      </c>
      <c r="B18" s="14" t="s">
        <v>107</v>
      </c>
      <c r="C18" s="14"/>
      <c r="D18" s="16">
        <v>44377</v>
      </c>
      <c r="E18" s="17">
        <v>67893.75</v>
      </c>
    </row>
    <row r="19" spans="1:5" x14ac:dyDescent="0.25">
      <c r="A19" s="14" t="s">
        <v>84</v>
      </c>
      <c r="B19" s="14" t="s">
        <v>108</v>
      </c>
      <c r="C19" s="14"/>
      <c r="D19" s="16">
        <v>44377</v>
      </c>
      <c r="E19" s="17">
        <v>165376.68</v>
      </c>
    </row>
    <row r="20" spans="1:5" x14ac:dyDescent="0.25">
      <c r="A20" s="14" t="s">
        <v>105</v>
      </c>
      <c r="B20" s="14" t="s">
        <v>109</v>
      </c>
      <c r="C20" s="14"/>
      <c r="D20" s="18">
        <v>43646</v>
      </c>
      <c r="E20" s="17">
        <v>1317046.6100000001</v>
      </c>
    </row>
    <row r="21" spans="1:5" x14ac:dyDescent="0.25">
      <c r="A21" s="14" t="s">
        <v>105</v>
      </c>
      <c r="B21" s="14" t="s">
        <v>110</v>
      </c>
      <c r="C21" s="14"/>
      <c r="D21" s="18">
        <v>43646</v>
      </c>
      <c r="E21" s="17">
        <v>2629983.4900000002</v>
      </c>
    </row>
    <row r="22" spans="1:5" x14ac:dyDescent="0.25">
      <c r="A22" s="14" t="s">
        <v>111</v>
      </c>
      <c r="B22" s="14" t="s">
        <v>112</v>
      </c>
      <c r="C22" s="14" t="s">
        <v>113</v>
      </c>
      <c r="D22" s="18">
        <v>42916</v>
      </c>
      <c r="E22" s="17">
        <f>19882.5+57000+57000</f>
        <v>133882.5</v>
      </c>
    </row>
    <row r="23" spans="1:5" x14ac:dyDescent="0.25">
      <c r="A23" s="14" t="s">
        <v>84</v>
      </c>
      <c r="B23" s="14" t="s">
        <v>114</v>
      </c>
      <c r="C23" s="14"/>
      <c r="D23" s="18">
        <v>42551</v>
      </c>
      <c r="E23" s="17">
        <v>25705.119999999999</v>
      </c>
    </row>
    <row r="24" spans="1:5" x14ac:dyDescent="0.25">
      <c r="A24" s="14" t="s">
        <v>84</v>
      </c>
      <c r="B24" s="15" t="s">
        <v>115</v>
      </c>
      <c r="C24" s="15"/>
      <c r="D24" s="16">
        <v>42185</v>
      </c>
      <c r="E24" s="17">
        <v>23112.26</v>
      </c>
    </row>
    <row r="25" spans="1:5" x14ac:dyDescent="0.25">
      <c r="A25" s="14" t="s">
        <v>84</v>
      </c>
      <c r="B25" s="15" t="s">
        <v>116</v>
      </c>
      <c r="C25" s="15"/>
      <c r="D25" s="16">
        <v>41820</v>
      </c>
      <c r="E25" s="17">
        <v>117219.06</v>
      </c>
    </row>
    <row r="26" spans="1:5" x14ac:dyDescent="0.25">
      <c r="A26" s="14" t="s">
        <v>84</v>
      </c>
      <c r="B26" s="15" t="s">
        <v>117</v>
      </c>
      <c r="C26" s="15"/>
      <c r="D26" s="16">
        <v>41820</v>
      </c>
      <c r="E26" s="17">
        <v>14316.11</v>
      </c>
    </row>
    <row r="27" spans="1:5" x14ac:dyDescent="0.25">
      <c r="A27" s="14" t="s">
        <v>84</v>
      </c>
      <c r="B27" s="15" t="s">
        <v>118</v>
      </c>
      <c r="C27" s="15"/>
      <c r="D27" s="16">
        <v>41820</v>
      </c>
      <c r="E27" s="17">
        <v>655406.94000000006</v>
      </c>
    </row>
    <row r="28" spans="1:5" x14ac:dyDescent="0.25">
      <c r="A28" s="14" t="s">
        <v>84</v>
      </c>
      <c r="B28" s="19" t="s">
        <v>119</v>
      </c>
      <c r="C28" s="14" t="s">
        <v>113</v>
      </c>
      <c r="D28" s="20">
        <v>45955</v>
      </c>
      <c r="E28" s="21">
        <v>0</v>
      </c>
    </row>
    <row r="29" spans="1:5" x14ac:dyDescent="0.25">
      <c r="A29" s="14" t="s">
        <v>111</v>
      </c>
      <c r="B29" s="22" t="s">
        <v>120</v>
      </c>
      <c r="C29" s="15" t="s">
        <v>113</v>
      </c>
      <c r="D29" s="23">
        <v>46022</v>
      </c>
      <c r="E29" s="24">
        <v>0</v>
      </c>
    </row>
    <row r="30" spans="1:5" x14ac:dyDescent="0.25">
      <c r="A30" s="14" t="s">
        <v>105</v>
      </c>
      <c r="B30" s="25" t="s">
        <v>121</v>
      </c>
      <c r="C30" s="14"/>
      <c r="D30" s="23">
        <v>46022</v>
      </c>
      <c r="E30" s="24">
        <v>998931</v>
      </c>
    </row>
    <row r="31" spans="1:5" x14ac:dyDescent="0.25">
      <c r="A31" s="14"/>
      <c r="B31" s="14"/>
      <c r="C31" s="14"/>
      <c r="D31" s="14"/>
      <c r="E31" s="14"/>
    </row>
    <row r="32" spans="1:5" x14ac:dyDescent="0.25">
      <c r="A32" s="14"/>
      <c r="B32" s="14"/>
      <c r="C32" s="14"/>
      <c r="D32" s="14"/>
      <c r="E32" s="14"/>
    </row>
    <row r="33" spans="1:5" x14ac:dyDescent="0.25">
      <c r="A33" s="14"/>
      <c r="B33" s="15"/>
      <c r="C33" s="15"/>
      <c r="D33" s="16"/>
      <c r="E33" s="17"/>
    </row>
    <row r="34" spans="1:5" x14ac:dyDescent="0.25">
      <c r="A34" s="26"/>
      <c r="B34" s="26"/>
      <c r="C34" s="26"/>
      <c r="D34" s="26"/>
      <c r="E34" s="26"/>
    </row>
    <row r="35" spans="1:5" x14ac:dyDescent="0.25">
      <c r="D35" s="27" t="s">
        <v>122</v>
      </c>
      <c r="E35" s="28">
        <f>SUM(E2:E34)</f>
        <v>12112481.599999998</v>
      </c>
    </row>
    <row r="37" spans="1:5" x14ac:dyDescent="0.25">
      <c r="E37" s="10"/>
    </row>
  </sheetData>
  <sheetProtection algorithmName="SHA-512" hashValue="yzLwxPqsSxo3jq5Ehfe48yepUD3B1DnBRloeMwSBYMU24n5JLT0D1i/F1gsF97bqLHIhDaCOxb68l/SJwPmG/g==" saltValue="SJ2UbseNyGNpYHANzA8Y/Q==" spinCount="100000" sheet="1" objects="1" scenarios="1" selectLockedCells="1" selectUnlockedCell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3211D-98EB-42C2-B592-78E790C802C7}">
  <dimension ref="A1:L79"/>
  <sheetViews>
    <sheetView workbookViewId="0">
      <selection activeCell="B72" sqref="B72"/>
    </sheetView>
  </sheetViews>
  <sheetFormatPr defaultRowHeight="15" x14ac:dyDescent="0.25"/>
  <cols>
    <col min="1" max="1" width="56.7109375" style="7" customWidth="1"/>
    <col min="2" max="2" width="39.7109375" style="7" customWidth="1"/>
    <col min="3" max="3" width="15.42578125" style="7" customWidth="1"/>
    <col min="4" max="4" width="14.28515625" style="10" bestFit="1" customWidth="1"/>
    <col min="5" max="5" width="39.5703125" style="11" bestFit="1" customWidth="1"/>
    <col min="6" max="6" width="15.28515625" style="10" bestFit="1" customWidth="1"/>
  </cols>
  <sheetData>
    <row r="1" spans="1:6" ht="45.75" x14ac:dyDescent="0.3">
      <c r="A1" s="3" t="s">
        <v>0</v>
      </c>
      <c r="B1" s="4" t="s">
        <v>1</v>
      </c>
      <c r="C1" s="3" t="s">
        <v>2</v>
      </c>
      <c r="D1" s="10" t="s">
        <v>74</v>
      </c>
      <c r="E1" s="11" t="s">
        <v>75</v>
      </c>
      <c r="F1" s="10" t="s">
        <v>76</v>
      </c>
    </row>
    <row r="2" spans="1:6" ht="45" x14ac:dyDescent="0.25">
      <c r="A2" s="5" t="s">
        <v>3</v>
      </c>
      <c r="B2" s="5"/>
      <c r="C2" s="5" t="s">
        <v>4</v>
      </c>
      <c r="D2" s="10">
        <v>2290896</v>
      </c>
      <c r="E2" s="11">
        <v>0.42009999999999997</v>
      </c>
      <c r="F2" s="10">
        <v>962405.4095999999</v>
      </c>
    </row>
    <row r="3" spans="1:6" ht="45" x14ac:dyDescent="0.25">
      <c r="A3" s="5" t="s">
        <v>5</v>
      </c>
      <c r="B3" s="5"/>
      <c r="C3" s="5" t="s">
        <v>4</v>
      </c>
      <c r="D3" s="10">
        <v>1431810</v>
      </c>
      <c r="E3" s="11">
        <v>5.8500000000000003E-2</v>
      </c>
      <c r="F3" s="10">
        <v>83760.885000000009</v>
      </c>
    </row>
    <row r="4" spans="1:6" ht="30" x14ac:dyDescent="0.25">
      <c r="A4" s="5" t="s">
        <v>6</v>
      </c>
      <c r="B4" s="5"/>
      <c r="C4" s="5" t="s">
        <v>7</v>
      </c>
      <c r="D4" s="10">
        <v>1784141.32</v>
      </c>
      <c r="E4" s="11">
        <v>1</v>
      </c>
      <c r="F4" s="10">
        <v>1784141.32</v>
      </c>
    </row>
    <row r="5" spans="1:6" ht="45" x14ac:dyDescent="0.25">
      <c r="A5" s="5" t="s">
        <v>8</v>
      </c>
      <c r="B5" s="5"/>
      <c r="C5" s="5" t="s">
        <v>4</v>
      </c>
      <c r="D5" s="10">
        <v>9371196.4499999993</v>
      </c>
      <c r="E5" s="11">
        <v>0.3705</v>
      </c>
      <c r="F5" s="10">
        <v>3472028.2847249997</v>
      </c>
    </row>
    <row r="6" spans="1:6" ht="30" x14ac:dyDescent="0.25">
      <c r="A6" s="5" t="s">
        <v>9</v>
      </c>
      <c r="B6" s="5"/>
      <c r="C6" s="5" t="s">
        <v>7</v>
      </c>
      <c r="D6" s="10">
        <v>1288629</v>
      </c>
      <c r="E6" s="11">
        <v>1</v>
      </c>
      <c r="F6" s="10">
        <v>1288629</v>
      </c>
    </row>
    <row r="7" spans="1:6" ht="45" x14ac:dyDescent="0.25">
      <c r="A7" s="5" t="s">
        <v>10</v>
      </c>
      <c r="B7" s="5"/>
      <c r="C7" s="5" t="s">
        <v>7</v>
      </c>
      <c r="D7" s="10">
        <v>3006801</v>
      </c>
      <c r="E7" s="11">
        <v>1</v>
      </c>
      <c r="F7" s="10">
        <v>3006801</v>
      </c>
    </row>
    <row r="8" spans="1:6" ht="45" x14ac:dyDescent="0.25">
      <c r="A8" s="5" t="s">
        <v>11</v>
      </c>
      <c r="B8" s="5"/>
      <c r="C8" s="5" t="s">
        <v>7</v>
      </c>
      <c r="D8" s="10">
        <v>1084993.8</v>
      </c>
      <c r="E8" s="11">
        <v>0.3579</v>
      </c>
      <c r="F8" s="10">
        <v>388319.28101999999</v>
      </c>
    </row>
    <row r="9" spans="1:6" ht="45" x14ac:dyDescent="0.25">
      <c r="A9" s="5" t="s">
        <v>12</v>
      </c>
      <c r="B9" s="5"/>
      <c r="C9" s="5" t="s">
        <v>7</v>
      </c>
      <c r="D9" s="10">
        <v>1489082.4</v>
      </c>
      <c r="E9" s="11">
        <v>0.37240000000000001</v>
      </c>
      <c r="F9" s="10">
        <v>554534.28576</v>
      </c>
    </row>
    <row r="10" spans="1:6" ht="30" x14ac:dyDescent="0.25">
      <c r="A10" s="5" t="s">
        <v>13</v>
      </c>
      <c r="B10" s="5"/>
      <c r="C10" s="5" t="s">
        <v>7</v>
      </c>
      <c r="D10" s="10">
        <v>572724</v>
      </c>
      <c r="E10" s="11">
        <v>1</v>
      </c>
      <c r="F10" s="10">
        <v>572724</v>
      </c>
    </row>
    <row r="11" spans="1:6" ht="45" x14ac:dyDescent="0.25">
      <c r="A11" s="5" t="s">
        <v>14</v>
      </c>
      <c r="B11" s="5"/>
      <c r="C11" s="5" t="s">
        <v>4</v>
      </c>
      <c r="D11" s="10">
        <v>8447679</v>
      </c>
      <c r="E11" s="11">
        <v>0.4803</v>
      </c>
      <c r="F11" s="10">
        <v>4057420.2237</v>
      </c>
    </row>
    <row r="12" spans="1:6" ht="45" x14ac:dyDescent="0.25">
      <c r="A12" s="5" t="s">
        <v>15</v>
      </c>
      <c r="B12" s="5"/>
      <c r="C12" s="5" t="s">
        <v>4</v>
      </c>
      <c r="D12" s="10">
        <v>14318.1</v>
      </c>
      <c r="E12" s="11">
        <v>0.34010000000000001</v>
      </c>
      <c r="F12" s="10">
        <v>4869.5858100000005</v>
      </c>
    </row>
    <row r="13" spans="1:6" ht="45" x14ac:dyDescent="0.25">
      <c r="A13" s="5" t="s">
        <v>16</v>
      </c>
      <c r="B13" s="5"/>
      <c r="C13" s="5" t="s">
        <v>7</v>
      </c>
      <c r="D13" s="10">
        <v>116931.15</v>
      </c>
      <c r="E13" s="11">
        <v>0.34670000000000001</v>
      </c>
      <c r="F13" s="10">
        <v>40540.029705000001</v>
      </c>
    </row>
    <row r="14" spans="1:6" ht="45" x14ac:dyDescent="0.25">
      <c r="A14" s="5" t="s">
        <v>17</v>
      </c>
      <c r="B14" s="5"/>
      <c r="C14" s="5" t="s">
        <v>4</v>
      </c>
      <c r="D14" s="10">
        <v>1847140.96</v>
      </c>
      <c r="E14" s="11">
        <v>1</v>
      </c>
      <c r="F14" s="10">
        <v>1847140.96</v>
      </c>
    </row>
    <row r="15" spans="1:6" ht="30" x14ac:dyDescent="0.25">
      <c r="A15" s="5" t="s">
        <v>18</v>
      </c>
      <c r="B15" s="5"/>
      <c r="C15" s="5" t="s">
        <v>4</v>
      </c>
      <c r="D15" s="10">
        <v>28636.2</v>
      </c>
      <c r="E15" s="11">
        <v>0.31680000000000003</v>
      </c>
      <c r="F15" s="10">
        <v>9071.9481600000017</v>
      </c>
    </row>
    <row r="16" spans="1:6" ht="45" x14ac:dyDescent="0.25">
      <c r="A16" s="5" t="s">
        <v>19</v>
      </c>
      <c r="B16" s="5"/>
      <c r="C16" s="5" t="s">
        <v>7</v>
      </c>
      <c r="D16" s="10">
        <v>2271380.96</v>
      </c>
      <c r="E16" s="11">
        <v>0.33950000000000002</v>
      </c>
      <c r="F16" s="10">
        <v>771133.8359200001</v>
      </c>
    </row>
    <row r="17" spans="1:6" ht="45" x14ac:dyDescent="0.25">
      <c r="A17" s="5" t="s">
        <v>20</v>
      </c>
      <c r="B17" s="5"/>
      <c r="C17" s="5" t="s">
        <v>7</v>
      </c>
      <c r="D17" s="10">
        <v>2147715</v>
      </c>
      <c r="E17" s="11">
        <v>0.14710000000000001</v>
      </c>
      <c r="F17" s="10">
        <v>315928.87650000001</v>
      </c>
    </row>
    <row r="18" spans="1:6" ht="60" x14ac:dyDescent="0.25">
      <c r="A18" s="5" t="s">
        <v>21</v>
      </c>
      <c r="B18" s="5"/>
      <c r="C18" s="5" t="s">
        <v>4</v>
      </c>
      <c r="D18" s="10">
        <v>4696336.8</v>
      </c>
      <c r="E18" s="11">
        <v>0.50049999999999994</v>
      </c>
      <c r="F18" s="10">
        <v>2350516.5683999998</v>
      </c>
    </row>
    <row r="19" spans="1:6" ht="45" x14ac:dyDescent="0.25">
      <c r="A19" s="5" t="s">
        <v>22</v>
      </c>
      <c r="B19" s="5"/>
      <c r="C19" s="5" t="s">
        <v>7</v>
      </c>
      <c r="D19" s="10">
        <v>1431810</v>
      </c>
      <c r="E19" s="11">
        <v>0.63959999999999995</v>
      </c>
      <c r="F19" s="10">
        <v>915785.67599999998</v>
      </c>
    </row>
    <row r="20" spans="1:6" ht="45" x14ac:dyDescent="0.25">
      <c r="A20" s="5" t="s">
        <v>23</v>
      </c>
      <c r="B20" s="5"/>
      <c r="C20" s="5" t="s">
        <v>7</v>
      </c>
      <c r="D20" s="10">
        <v>1002267</v>
      </c>
      <c r="E20" s="11">
        <v>0.69199999999999995</v>
      </c>
      <c r="F20" s="10">
        <v>693568.76399999997</v>
      </c>
    </row>
    <row r="21" spans="1:6" ht="60" x14ac:dyDescent="0.25">
      <c r="A21" s="5" t="s">
        <v>24</v>
      </c>
      <c r="B21" s="5"/>
      <c r="C21" s="5" t="s">
        <v>4</v>
      </c>
      <c r="D21" s="10">
        <v>1603627.2</v>
      </c>
      <c r="E21" s="11">
        <v>0.83950000000000002</v>
      </c>
      <c r="F21" s="10">
        <v>1346245.0344</v>
      </c>
    </row>
    <row r="22" spans="1:6" ht="60" x14ac:dyDescent="0.25">
      <c r="A22" s="5" t="s">
        <v>70</v>
      </c>
      <c r="B22" s="5"/>
      <c r="C22" s="5" t="s">
        <v>7</v>
      </c>
      <c r="D22" s="10">
        <v>3436344</v>
      </c>
      <c r="E22" s="11">
        <v>0.33950000000000002</v>
      </c>
      <c r="F22" s="10">
        <v>1166638.7880000002</v>
      </c>
    </row>
    <row r="23" spans="1:6" ht="45" x14ac:dyDescent="0.25">
      <c r="A23" s="5" t="s">
        <v>25</v>
      </c>
      <c r="B23" s="5"/>
      <c r="C23" s="5" t="s">
        <v>7</v>
      </c>
      <c r="D23" s="10">
        <v>1718172</v>
      </c>
      <c r="E23" s="11">
        <v>0.61960000000000004</v>
      </c>
      <c r="F23" s="10">
        <v>1064579.3712000002</v>
      </c>
    </row>
    <row r="24" spans="1:6" ht="45" x14ac:dyDescent="0.25">
      <c r="A24" s="5" t="s">
        <v>26</v>
      </c>
      <c r="B24" s="5"/>
      <c r="C24" s="5" t="s">
        <v>7</v>
      </c>
      <c r="D24" s="10">
        <v>429543</v>
      </c>
      <c r="E24" s="11">
        <v>0.43120000000000003</v>
      </c>
      <c r="F24" s="10">
        <v>185218.94160000002</v>
      </c>
    </row>
    <row r="25" spans="1:6" ht="45" x14ac:dyDescent="0.25">
      <c r="A25" s="5" t="s">
        <v>27</v>
      </c>
      <c r="B25" s="5"/>
      <c r="C25" s="5" t="s">
        <v>7</v>
      </c>
      <c r="D25" s="10">
        <v>184597.43</v>
      </c>
      <c r="E25" s="11">
        <v>0.3644</v>
      </c>
      <c r="F25" s="10">
        <v>67267.303491999992</v>
      </c>
    </row>
    <row r="26" spans="1:6" ht="45" x14ac:dyDescent="0.25">
      <c r="A26" s="5" t="s">
        <v>28</v>
      </c>
      <c r="B26" s="5"/>
      <c r="C26" s="5" t="s">
        <v>7</v>
      </c>
      <c r="D26" s="10">
        <v>7535563</v>
      </c>
      <c r="E26" s="11">
        <v>0.35060000000000002</v>
      </c>
      <c r="F26" s="10">
        <v>2641968.3878000001</v>
      </c>
    </row>
    <row r="27" spans="1:6" ht="45" x14ac:dyDescent="0.25">
      <c r="A27" s="5" t="s">
        <v>29</v>
      </c>
      <c r="B27" s="5"/>
      <c r="C27" s="5" t="s">
        <v>7</v>
      </c>
      <c r="D27" s="10">
        <v>572724</v>
      </c>
      <c r="E27" s="11">
        <v>1</v>
      </c>
      <c r="F27" s="10">
        <v>572724</v>
      </c>
    </row>
    <row r="28" spans="1:6" ht="45" x14ac:dyDescent="0.25">
      <c r="A28" s="5" t="s">
        <v>30</v>
      </c>
      <c r="B28" s="5"/>
      <c r="C28" s="5" t="s">
        <v>7</v>
      </c>
      <c r="D28" s="10">
        <v>1145448</v>
      </c>
      <c r="E28" s="11">
        <v>0.25890000000000002</v>
      </c>
      <c r="F28" s="10">
        <v>296556.48720000003</v>
      </c>
    </row>
    <row r="29" spans="1:6" ht="45" x14ac:dyDescent="0.25">
      <c r="A29" s="5" t="s">
        <v>31</v>
      </c>
      <c r="B29" s="5"/>
      <c r="C29" s="5" t="s">
        <v>4</v>
      </c>
      <c r="D29" s="10">
        <v>530300</v>
      </c>
      <c r="E29" s="11">
        <v>0.85</v>
      </c>
      <c r="F29" s="10">
        <v>450755</v>
      </c>
    </row>
    <row r="30" spans="1:6" ht="45" x14ac:dyDescent="0.25">
      <c r="A30" s="5" t="s">
        <v>32</v>
      </c>
      <c r="B30" s="5"/>
      <c r="C30" s="5" t="s">
        <v>7</v>
      </c>
      <c r="D30" s="10">
        <v>1784141.32</v>
      </c>
      <c r="E30" s="11">
        <v>0.2702</v>
      </c>
      <c r="F30" s="10">
        <v>482074.98466399999</v>
      </c>
    </row>
    <row r="31" spans="1:6" ht="45" x14ac:dyDescent="0.25">
      <c r="A31" s="5" t="s">
        <v>33</v>
      </c>
      <c r="B31" s="5"/>
      <c r="C31" s="5" t="s">
        <v>7</v>
      </c>
      <c r="D31" s="10">
        <v>5297697</v>
      </c>
      <c r="E31" s="11">
        <v>1</v>
      </c>
      <c r="F31" s="10">
        <v>5297697</v>
      </c>
    </row>
    <row r="32" spans="1:6" ht="45" x14ac:dyDescent="0.25">
      <c r="A32" s="5" t="s">
        <v>34</v>
      </c>
      <c r="B32" s="5"/>
      <c r="C32" s="5" t="s">
        <v>7</v>
      </c>
      <c r="D32" s="10">
        <v>92272.2</v>
      </c>
      <c r="E32" s="11">
        <v>0.33950000000000002</v>
      </c>
      <c r="F32" s="10">
        <v>31326.411900000003</v>
      </c>
    </row>
    <row r="33" spans="1:6" ht="45" x14ac:dyDescent="0.25">
      <c r="A33" s="5" t="s">
        <v>35</v>
      </c>
      <c r="B33" s="5"/>
      <c r="C33" s="5" t="s">
        <v>7</v>
      </c>
      <c r="D33" s="10">
        <v>1030903.2</v>
      </c>
      <c r="E33" s="11">
        <v>0.94420000000000004</v>
      </c>
      <c r="F33" s="10">
        <v>973378.80143999995</v>
      </c>
    </row>
    <row r="34" spans="1:6" ht="45" x14ac:dyDescent="0.25">
      <c r="A34" s="5" t="s">
        <v>36</v>
      </c>
      <c r="B34" s="5"/>
      <c r="C34" s="5" t="s">
        <v>4</v>
      </c>
      <c r="D34" s="10">
        <v>286362</v>
      </c>
      <c r="E34" s="11">
        <v>0.28399999999999997</v>
      </c>
      <c r="F34" s="10">
        <v>81326.80799999999</v>
      </c>
    </row>
    <row r="35" spans="1:6" ht="45" x14ac:dyDescent="0.25">
      <c r="A35" s="5" t="s">
        <v>37</v>
      </c>
      <c r="B35" s="5"/>
      <c r="C35" s="5" t="s">
        <v>4</v>
      </c>
      <c r="D35" s="10">
        <v>4295430</v>
      </c>
      <c r="E35" s="11">
        <v>0.60829999999999995</v>
      </c>
      <c r="F35" s="10">
        <v>2612910.0689999997</v>
      </c>
    </row>
    <row r="36" spans="1:6" ht="45" x14ac:dyDescent="0.25">
      <c r="A36" s="5" t="s">
        <v>38</v>
      </c>
      <c r="B36" s="5"/>
      <c r="C36" s="5" t="s">
        <v>7</v>
      </c>
      <c r="D36" s="10">
        <v>2290896</v>
      </c>
      <c r="E36" s="11">
        <v>1</v>
      </c>
      <c r="F36" s="10">
        <v>2290896</v>
      </c>
    </row>
    <row r="37" spans="1:6" ht="30" x14ac:dyDescent="0.25">
      <c r="A37" s="5" t="s">
        <v>39</v>
      </c>
      <c r="B37" s="5"/>
      <c r="C37" s="5" t="s">
        <v>4</v>
      </c>
      <c r="D37" s="10">
        <v>874995</v>
      </c>
      <c r="E37" s="11">
        <v>0.52070000000000005</v>
      </c>
      <c r="F37" s="10">
        <v>455609.89650000003</v>
      </c>
    </row>
    <row r="38" spans="1:6" ht="45" x14ac:dyDescent="0.25">
      <c r="A38" s="5" t="s">
        <v>40</v>
      </c>
      <c r="B38" s="5"/>
      <c r="C38" s="5" t="s">
        <v>7</v>
      </c>
      <c r="D38" s="10">
        <v>339392</v>
      </c>
      <c r="E38" s="11">
        <v>0.2828</v>
      </c>
      <c r="F38" s="10">
        <v>95980.0576</v>
      </c>
    </row>
    <row r="39" spans="1:6" ht="30" x14ac:dyDescent="0.25">
      <c r="A39" s="5" t="s">
        <v>41</v>
      </c>
      <c r="B39" s="5"/>
      <c r="C39" s="5" t="s">
        <v>7</v>
      </c>
      <c r="D39" s="10">
        <v>365907</v>
      </c>
      <c r="E39" s="11">
        <v>0.2611</v>
      </c>
      <c r="F39" s="10">
        <v>95538.3177</v>
      </c>
    </row>
    <row r="40" spans="1:6" x14ac:dyDescent="0.25">
      <c r="A40" s="6" t="s">
        <v>42</v>
      </c>
      <c r="B40" s="6"/>
      <c r="C40" s="5" t="s">
        <v>7</v>
      </c>
      <c r="D40" s="10">
        <v>143181</v>
      </c>
      <c r="E40" s="11">
        <v>1</v>
      </c>
      <c r="F40" s="10">
        <v>143181</v>
      </c>
    </row>
    <row r="41" spans="1:6" x14ac:dyDescent="0.25">
      <c r="A41" s="6" t="s">
        <v>43</v>
      </c>
      <c r="B41" s="6"/>
      <c r="C41" s="5" t="s">
        <v>7</v>
      </c>
      <c r="D41" s="10">
        <v>286362</v>
      </c>
      <c r="E41" s="11">
        <v>1</v>
      </c>
      <c r="F41" s="10">
        <v>286362</v>
      </c>
    </row>
    <row r="42" spans="1:6" x14ac:dyDescent="0.25">
      <c r="A42" s="6" t="s">
        <v>44</v>
      </c>
      <c r="B42" s="6"/>
      <c r="C42" s="5" t="s">
        <v>7</v>
      </c>
      <c r="D42" s="10">
        <v>424240</v>
      </c>
      <c r="E42" s="11">
        <v>0.30220000000000002</v>
      </c>
      <c r="F42" s="10">
        <v>128205.32800000001</v>
      </c>
    </row>
    <row r="43" spans="1:6" ht="30" x14ac:dyDescent="0.25">
      <c r="A43" s="5" t="s">
        <v>45</v>
      </c>
      <c r="B43" s="5"/>
      <c r="C43" s="5" t="s">
        <v>4</v>
      </c>
      <c r="D43" s="10">
        <v>286362</v>
      </c>
      <c r="E43" s="11">
        <v>0.38719999999999999</v>
      </c>
      <c r="F43" s="10">
        <v>110879.3664</v>
      </c>
    </row>
    <row r="44" spans="1:6" ht="60" x14ac:dyDescent="0.25">
      <c r="A44" s="5" t="s">
        <v>46</v>
      </c>
      <c r="B44" s="5"/>
      <c r="C44" s="5" t="s">
        <v>4</v>
      </c>
      <c r="D44" s="10">
        <v>779541</v>
      </c>
      <c r="E44" s="11">
        <v>0.38769999999999999</v>
      </c>
      <c r="F44" s="10">
        <v>302228.04570000002</v>
      </c>
    </row>
    <row r="45" spans="1:6" ht="90" x14ac:dyDescent="0.25">
      <c r="A45" s="5" t="s">
        <v>47</v>
      </c>
      <c r="B45" s="5"/>
      <c r="C45" s="5" t="s">
        <v>7</v>
      </c>
      <c r="D45" s="10">
        <v>530300</v>
      </c>
      <c r="E45" s="11">
        <v>0.67889999999999995</v>
      </c>
      <c r="F45" s="10">
        <v>360020.67</v>
      </c>
    </row>
    <row r="46" spans="1:6" ht="30" x14ac:dyDescent="0.25">
      <c r="A46" s="6" t="s">
        <v>48</v>
      </c>
      <c r="B46" s="6"/>
      <c r="C46" s="5" t="s">
        <v>4</v>
      </c>
      <c r="D46" s="10">
        <v>184703.49</v>
      </c>
      <c r="E46" s="11">
        <v>1</v>
      </c>
      <c r="F46" s="10">
        <v>184703.49</v>
      </c>
    </row>
    <row r="47" spans="1:6" x14ac:dyDescent="0.25">
      <c r="A47" s="6" t="s">
        <v>49</v>
      </c>
      <c r="B47" s="6"/>
      <c r="C47" s="5" t="s">
        <v>7</v>
      </c>
      <c r="D47" s="10">
        <v>78749.55</v>
      </c>
      <c r="E47" s="11">
        <v>0.70179999999999998</v>
      </c>
      <c r="F47" s="10">
        <v>55266.43419</v>
      </c>
    </row>
    <row r="48" spans="1:6" x14ac:dyDescent="0.25">
      <c r="A48" s="6" t="s">
        <v>50</v>
      </c>
      <c r="B48" s="6"/>
      <c r="C48" s="5" t="s">
        <v>7</v>
      </c>
      <c r="D48" s="10">
        <v>70158.69</v>
      </c>
      <c r="E48" s="11">
        <v>0.57379999999999998</v>
      </c>
      <c r="F48" s="10">
        <v>40257.056321999997</v>
      </c>
    </row>
    <row r="49" spans="1:6" x14ac:dyDescent="0.25">
      <c r="A49" s="6" t="s">
        <v>51</v>
      </c>
      <c r="B49" s="6"/>
      <c r="C49" s="5" t="s">
        <v>7</v>
      </c>
      <c r="D49" s="10">
        <v>67008.707999999999</v>
      </c>
      <c r="E49" s="11">
        <v>0.33950000000000002</v>
      </c>
      <c r="F49" s="10">
        <v>22749.456366000002</v>
      </c>
    </row>
    <row r="50" spans="1:6" x14ac:dyDescent="0.25">
      <c r="A50" s="6" t="s">
        <v>52</v>
      </c>
      <c r="B50" s="6"/>
      <c r="C50" s="5" t="s">
        <v>7</v>
      </c>
      <c r="D50" s="10">
        <v>62999.64</v>
      </c>
      <c r="E50" s="11">
        <v>0.33950000000000002</v>
      </c>
      <c r="F50" s="10">
        <v>21388.377780000003</v>
      </c>
    </row>
    <row r="51" spans="1:6" ht="30" x14ac:dyDescent="0.25">
      <c r="A51" s="6" t="s">
        <v>53</v>
      </c>
      <c r="B51" s="6"/>
      <c r="C51" s="5" t="s">
        <v>4</v>
      </c>
      <c r="D51" s="10">
        <v>181839.87</v>
      </c>
      <c r="E51" s="11">
        <v>0.71209999999999996</v>
      </c>
      <c r="F51" s="10">
        <v>129488.17142699999</v>
      </c>
    </row>
    <row r="52" spans="1:6" x14ac:dyDescent="0.25">
      <c r="A52" s="6" t="s">
        <v>54</v>
      </c>
      <c r="B52" s="6"/>
      <c r="C52" s="5" t="s">
        <v>7</v>
      </c>
      <c r="D52" s="10">
        <v>48681.54</v>
      </c>
      <c r="E52" s="11">
        <v>0.1948</v>
      </c>
      <c r="F52" s="10">
        <v>9483.1639919999998</v>
      </c>
    </row>
    <row r="53" spans="1:6" x14ac:dyDescent="0.25">
      <c r="A53" s="6" t="s">
        <v>55</v>
      </c>
      <c r="B53" s="6"/>
      <c r="C53" s="5" t="s">
        <v>7</v>
      </c>
      <c r="D53" s="10">
        <v>141749.19</v>
      </c>
      <c r="E53" s="11">
        <v>0.33950000000000002</v>
      </c>
      <c r="F53" s="10">
        <v>48123.850005000008</v>
      </c>
    </row>
    <row r="54" spans="1:6" x14ac:dyDescent="0.25">
      <c r="A54" s="6" t="s">
        <v>56</v>
      </c>
      <c r="B54" s="6"/>
      <c r="C54" s="5" t="s">
        <v>7</v>
      </c>
      <c r="D54" s="10">
        <v>2633575.86</v>
      </c>
      <c r="E54" s="11">
        <v>0.78259999999999996</v>
      </c>
      <c r="F54" s="10">
        <v>2061036.4680359997</v>
      </c>
    </row>
    <row r="55" spans="1:6" x14ac:dyDescent="0.25">
      <c r="A55" s="6" t="s">
        <v>57</v>
      </c>
      <c r="B55" s="6"/>
      <c r="C55" s="5" t="s">
        <v>7</v>
      </c>
      <c r="D55" s="10">
        <v>1828792.58</v>
      </c>
      <c r="E55" s="11">
        <v>0.33950000000000002</v>
      </c>
      <c r="F55" s="10">
        <v>620875.08091000002</v>
      </c>
    </row>
    <row r="56" spans="1:6" x14ac:dyDescent="0.25">
      <c r="A56" s="6" t="s">
        <v>58</v>
      </c>
      <c r="B56" s="6"/>
      <c r="C56" s="5" t="s">
        <v>7</v>
      </c>
      <c r="D56" s="10">
        <v>118840.23</v>
      </c>
      <c r="E56" s="11">
        <v>0.29449999999999998</v>
      </c>
      <c r="F56" s="10">
        <v>34998.447734999994</v>
      </c>
    </row>
    <row r="57" spans="1:6" x14ac:dyDescent="0.25">
      <c r="A57" s="6" t="s">
        <v>59</v>
      </c>
      <c r="B57" s="6"/>
      <c r="C57" s="5" t="s">
        <v>7</v>
      </c>
      <c r="D57" s="10">
        <v>176112.63</v>
      </c>
      <c r="E57" s="11">
        <v>0.78259999999999996</v>
      </c>
      <c r="F57" s="10">
        <v>137825.74423799998</v>
      </c>
    </row>
    <row r="58" spans="1:6" ht="30" x14ac:dyDescent="0.25">
      <c r="A58" s="6" t="s">
        <v>60</v>
      </c>
      <c r="B58" s="6"/>
      <c r="C58" s="5" t="s">
        <v>4</v>
      </c>
      <c r="D58" s="10">
        <v>91635.839999999997</v>
      </c>
      <c r="E58" s="11">
        <v>0.28399999999999997</v>
      </c>
      <c r="F58" s="10">
        <v>26024.578559999998</v>
      </c>
    </row>
    <row r="59" spans="1:6" x14ac:dyDescent="0.25">
      <c r="A59" s="6" t="s">
        <v>61</v>
      </c>
      <c r="B59" s="6"/>
      <c r="C59" s="5" t="s">
        <v>7</v>
      </c>
      <c r="D59" s="10">
        <v>3987856</v>
      </c>
      <c r="E59" s="11">
        <v>0.32729999999999998</v>
      </c>
      <c r="F59" s="10">
        <v>1305225.2688</v>
      </c>
    </row>
    <row r="60" spans="1:6" x14ac:dyDescent="0.25">
      <c r="A60" s="6" t="s">
        <v>50</v>
      </c>
      <c r="B60" s="6"/>
      <c r="C60" s="5" t="s">
        <v>7</v>
      </c>
      <c r="D60" s="10">
        <v>108817.56</v>
      </c>
      <c r="E60" s="11">
        <v>0.57379999999999998</v>
      </c>
      <c r="F60" s="10">
        <v>62439.515927999993</v>
      </c>
    </row>
    <row r="61" spans="1:6" x14ac:dyDescent="0.25">
      <c r="A61" s="6" t="s">
        <v>62</v>
      </c>
      <c r="B61" s="6"/>
      <c r="C61" s="5" t="s">
        <v>7</v>
      </c>
      <c r="D61" s="10">
        <v>110249.37</v>
      </c>
      <c r="E61" s="11">
        <v>0.33950000000000002</v>
      </c>
      <c r="F61" s="10">
        <v>37429.661115000003</v>
      </c>
    </row>
    <row r="62" spans="1:6" ht="30" x14ac:dyDescent="0.25">
      <c r="A62" s="6" t="s">
        <v>63</v>
      </c>
      <c r="B62" s="6"/>
      <c r="C62" s="6" t="s">
        <v>4</v>
      </c>
      <c r="D62" s="10">
        <v>21212</v>
      </c>
      <c r="E62" s="11">
        <v>0.41510000000000002</v>
      </c>
      <c r="F62" s="10">
        <v>8805.101200000001</v>
      </c>
    </row>
    <row r="63" spans="1:6" x14ac:dyDescent="0.25">
      <c r="A63" s="6" t="s">
        <v>64</v>
      </c>
      <c r="B63" s="6"/>
      <c r="C63" s="5" t="s">
        <v>7</v>
      </c>
      <c r="D63" s="10">
        <v>154635.48000000001</v>
      </c>
      <c r="E63" s="11">
        <v>0.33950000000000002</v>
      </c>
      <c r="F63" s="10">
        <v>52498.745460000006</v>
      </c>
    </row>
    <row r="64" spans="1:6" x14ac:dyDescent="0.25">
      <c r="A64" s="6" t="s">
        <v>65</v>
      </c>
      <c r="B64" s="6"/>
      <c r="C64" s="5" t="s">
        <v>7</v>
      </c>
      <c r="D64" s="10">
        <v>138885.57</v>
      </c>
      <c r="E64" s="11">
        <v>0.78259999999999996</v>
      </c>
      <c r="F64" s="10">
        <v>108691.84708200001</v>
      </c>
    </row>
    <row r="65" spans="1:12" x14ac:dyDescent="0.25">
      <c r="A65" s="7" t="s">
        <v>66</v>
      </c>
      <c r="C65" s="7" t="s">
        <v>67</v>
      </c>
      <c r="D65" s="10">
        <v>2100000</v>
      </c>
      <c r="E65" s="11">
        <v>0.4</v>
      </c>
      <c r="F65" s="10">
        <v>840000</v>
      </c>
    </row>
    <row r="66" spans="1:12" x14ac:dyDescent="0.25">
      <c r="A66" s="5" t="s">
        <v>66</v>
      </c>
      <c r="B66" s="5"/>
      <c r="C66" s="7" t="s">
        <v>67</v>
      </c>
      <c r="D66" s="10">
        <v>2380000</v>
      </c>
      <c r="E66" s="11">
        <v>0.4</v>
      </c>
      <c r="F66" s="10">
        <v>952000</v>
      </c>
    </row>
    <row r="67" spans="1:12" x14ac:dyDescent="0.25">
      <c r="A67" s="8" t="s">
        <v>68</v>
      </c>
      <c r="B67" s="9" t="s">
        <v>69</v>
      </c>
      <c r="C67" s="9" t="s">
        <v>67</v>
      </c>
      <c r="D67" s="10">
        <v>600000</v>
      </c>
      <c r="E67" s="11">
        <v>0.2</v>
      </c>
      <c r="F67" s="10">
        <v>120000</v>
      </c>
    </row>
    <row r="69" spans="1:12" ht="12.75" customHeight="1" thickBot="1" x14ac:dyDescent="0.3">
      <c r="A69" s="12"/>
      <c r="B69" s="12"/>
      <c r="C69" s="2"/>
      <c r="D69" s="2"/>
      <c r="E69" s="2"/>
      <c r="F69" s="12"/>
      <c r="G69" s="12"/>
      <c r="H69" s="12"/>
      <c r="I69" s="13"/>
      <c r="J69" s="12"/>
      <c r="K69" s="12"/>
      <c r="L69" s="12"/>
    </row>
    <row r="70" spans="1:12" x14ac:dyDescent="0.25">
      <c r="F70" s="10">
        <v>51418198.464041971</v>
      </c>
    </row>
    <row r="72" spans="1:12" x14ac:dyDescent="0.25">
      <c r="E72" s="11" t="s">
        <v>78</v>
      </c>
      <c r="F72" s="10">
        <v>18496189.42658199</v>
      </c>
    </row>
    <row r="74" spans="1:12" x14ac:dyDescent="0.25">
      <c r="E74" s="11" t="s">
        <v>77</v>
      </c>
      <c r="F74" s="10">
        <v>32922009.037459981</v>
      </c>
    </row>
    <row r="76" spans="1:12" x14ac:dyDescent="0.25">
      <c r="D76" s="10" t="s">
        <v>71</v>
      </c>
      <c r="F76" s="10">
        <v>7694895</v>
      </c>
    </row>
    <row r="77" spans="1:12" x14ac:dyDescent="0.25">
      <c r="D77" s="10" t="s">
        <v>72</v>
      </c>
      <c r="F77" s="10">
        <v>43723303.464041971</v>
      </c>
    </row>
    <row r="79" spans="1:12" x14ac:dyDescent="0.25">
      <c r="D79" s="10" t="s">
        <v>73</v>
      </c>
      <c r="F79" s="10">
        <v>25227114.037459981</v>
      </c>
    </row>
  </sheetData>
  <sheetProtection algorithmName="SHA-512" hashValue="I1wuR+x78Bqv+tWa4Z+ulY/c84qOzcujTBrTqfAansJnpJD5rhEIUnyh2uFS6NkpsR4jYdw0kq/hRnq/9XC4sg==" saltValue="ZtLuF+tKdLFglWCAP3VwIA==" spinCount="100000" sheet="1" objects="1" scenarios="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5</vt:i4>
      </vt:variant>
    </vt:vector>
  </HeadingPairs>
  <TitlesOfParts>
    <vt:vector size="5" baseType="lpstr">
      <vt:lpstr>Transportation SDC Calculation</vt:lpstr>
      <vt:lpstr>Charge Analysis</vt:lpstr>
      <vt:lpstr>Planning Data</vt:lpstr>
      <vt:lpstr>Inventory of Current System</vt:lpstr>
      <vt:lpstr>CIP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Danette Hilton</dc:creator>
  <cp:lastModifiedBy>Danette Hilton</cp:lastModifiedBy>
  <dcterms:created xsi:type="dcterms:W3CDTF">2026-09-24T19:55:45Z</dcterms:created>
  <dcterms:modified xsi:type="dcterms:W3CDTF">2026-09-24T21:31:17Z</dcterms:modified>
</cp:coreProperties>
</file>